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documents\EASC\IMTP Finances 2020_21\2021_22\"/>
    </mc:Choice>
  </mc:AlternateContent>
  <workbookProtection workbookAlgorithmName="SHA-512" workbookHashValue="uQH90fYVvVkaKqCD6EWKAebkLSYa5Nnnu+TeMGCvPB8c+vidlnfpV06CgakRLLr0PHHilimwO31ilYIybvNDkw==" workbookSaltValue="ULn8IrFMFcJidBGTbyY00w==" workbookSpinCount="100000" lockStructure="1"/>
  <bookViews>
    <workbookView xWindow="0" yWindow="0" windowWidth="19425" windowHeight="8820" tabRatio="914"/>
  </bookViews>
  <sheets>
    <sheet name="EASC Summary" sheetId="11" r:id="rId1"/>
    <sheet name="EAS 2021_22" sheetId="2" r:id="rId2"/>
    <sheet name="NEPTS 2021_22" sheetId="10" r:id="rId3"/>
    <sheet name="NEPTS Detailed Analysis" sheetId="13" state="hidden" r:id="rId4"/>
    <sheet name="EMRTS 2021_22" sheetId="4" r:id="rId5"/>
    <sheet name="RF Comm Alloc's 2021_22" sheetId="15" r:id="rId6"/>
    <sheet name="Specialised Comm_2021_22" sheetId="19" r:id="rId7"/>
    <sheet name="EASC Team 2021_22" sheetId="8" r:id="rId8"/>
    <sheet name="Support Docs--&gt;" sheetId="20" state="hidden" r:id="rId9"/>
    <sheet name="Fcst 21_22" sheetId="16" state="hidden" r:id="rId10"/>
    <sheet name="REC TO WHSSC" sheetId="17" state="hidden" r:id="rId11"/>
    <sheet name="NEPTS 21 22" sheetId="21" state="hidden" r:id="rId12"/>
    <sheet name="Final I2S and QAIS" sheetId="18" state="hidden" r:id="rId13"/>
    <sheet name="Healthier Wales System Realloc" sheetId="12" state="hidden" r:id="rId14"/>
    <sheet name="HW Risk Share Adjustment" sheetId="14" state="hidden" r:id="rId15"/>
  </sheets>
  <externalReferences>
    <externalReference r:id="rId16"/>
    <externalReference r:id="rId17"/>
    <externalReference r:id="rId18"/>
    <externalReference r:id="rId19"/>
  </externalReferences>
  <definedNames>
    <definedName name="__xlcn.WorksheetConnection_Data.xlsxDataMth1to12AAU1" hidden="1">'[1]Data Mth 1 to 12'!$A$1:$AU$65536</definedName>
    <definedName name="_xlnm.Print_Area" localSheetId="1">'EAS 2021_22'!$A$4:$I$67</definedName>
    <definedName name="_xlnm.Print_Area" localSheetId="0">'EASC Summary'!$A$4:$J$15</definedName>
    <definedName name="_xlnm.Print_Area" localSheetId="7">'EASC Team 2021_22'!$A$4:$I$15</definedName>
    <definedName name="_xlnm.Print_Area" localSheetId="4">'EMRTS 2021_22'!$A$4:$I$21</definedName>
    <definedName name="_xlnm.Print_Area" localSheetId="2">'NEPTS 2021_22'!$A$4:$J$12</definedName>
    <definedName name="_xlnm.Print_Area" localSheetId="5">'RF Comm Alloc''s 2021_22'!$A$4:$I$23</definedName>
    <definedName name="_xlnm.Print_Area" localSheetId="6">'Specialised Comm_2021_22'!$A$4:$I$9</definedName>
    <definedName name="_xlnm.Print_Titles" localSheetId="1">'EAS 2021_22'!$1:$3</definedName>
    <definedName name="_xlnm.Print_Titles" localSheetId="0">'EASC Summary'!$1:$3</definedName>
    <definedName name="_xlnm.Print_Titles" localSheetId="7">'EASC Team 2021_22'!$1:$3</definedName>
    <definedName name="_xlnm.Print_Titles" localSheetId="4">'EMRTS 2021_22'!$1:$3</definedName>
    <definedName name="_xlnm.Print_Titles" localSheetId="2">'NEPTS 2021_22'!$1:$3</definedName>
    <definedName name="_xlnm.Print_Titles" localSheetId="5">'RF Comm Alloc''s 2021_22'!$1:$3</definedName>
    <definedName name="_xlnm.Print_Titles" localSheetId="6">'Specialised Comm_2021_22'!$1:$3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5" l="1"/>
  <c r="D15" i="15"/>
  <c r="E15" i="15"/>
  <c r="F15" i="15"/>
  <c r="G15" i="15"/>
  <c r="H15" i="15"/>
  <c r="I15" i="15"/>
  <c r="B15" i="15"/>
  <c r="C14" i="15"/>
  <c r="D14" i="15"/>
  <c r="E14" i="15"/>
  <c r="F14" i="15"/>
  <c r="G14" i="15"/>
  <c r="H14" i="15"/>
  <c r="C12" i="15"/>
  <c r="D12" i="15"/>
  <c r="E12" i="15"/>
  <c r="F12" i="15"/>
  <c r="G12" i="15"/>
  <c r="H12" i="15"/>
  <c r="B12" i="15"/>
  <c r="B14" i="15"/>
  <c r="C42" i="2"/>
  <c r="D42" i="2"/>
  <c r="E42" i="2"/>
  <c r="F42" i="2"/>
  <c r="G42" i="2"/>
  <c r="H42" i="2"/>
  <c r="I42" i="2"/>
  <c r="B42" i="2"/>
  <c r="I46" i="2"/>
  <c r="H46" i="2"/>
  <c r="G46" i="2"/>
  <c r="F46" i="2"/>
  <c r="E46" i="2"/>
  <c r="D46" i="2"/>
  <c r="C46" i="2"/>
  <c r="B46" i="2"/>
  <c r="B35" i="2"/>
  <c r="I35" i="2" s="1"/>
  <c r="I26" i="2"/>
  <c r="I9" i="8" l="1"/>
  <c r="C18" i="15" l="1"/>
  <c r="D18" i="15"/>
  <c r="E18" i="15"/>
  <c r="F18" i="15"/>
  <c r="G18" i="15"/>
  <c r="H18" i="15"/>
  <c r="B18" i="15"/>
  <c r="C33" i="2" l="1"/>
  <c r="D33" i="2"/>
  <c r="E33" i="2"/>
  <c r="F33" i="2"/>
  <c r="G33" i="2"/>
  <c r="H33" i="2"/>
  <c r="B33" i="2"/>
  <c r="I44" i="2"/>
  <c r="I45" i="2"/>
  <c r="I43" i="2"/>
  <c r="C27" i="2"/>
  <c r="C43" i="2" s="1"/>
  <c r="D27" i="2"/>
  <c r="D43" i="2" s="1"/>
  <c r="E27" i="2"/>
  <c r="E43" i="2" s="1"/>
  <c r="F27" i="2"/>
  <c r="F43" i="2" s="1"/>
  <c r="G27" i="2"/>
  <c r="G43" i="2" s="1"/>
  <c r="H27" i="2"/>
  <c r="H43" i="2" s="1"/>
  <c r="B27" i="2"/>
  <c r="B43" i="2" s="1"/>
  <c r="C8" i="11" l="1"/>
  <c r="H8" i="11"/>
  <c r="I8" i="11"/>
  <c r="I12" i="11" s="1"/>
  <c r="I14" i="11" s="1"/>
  <c r="B8" i="11"/>
  <c r="D11" i="10"/>
  <c r="G9" i="10"/>
  <c r="G10" i="10" s="1"/>
  <c r="F9" i="10"/>
  <c r="F10" i="10" s="1"/>
  <c r="E9" i="10"/>
  <c r="E10" i="10"/>
  <c r="D10" i="10"/>
  <c r="D12" i="10" s="1"/>
  <c r="D8" i="11" s="1"/>
  <c r="E50" i="21"/>
  <c r="E49" i="21"/>
  <c r="E67" i="21"/>
  <c r="G48" i="21"/>
  <c r="E48" i="21"/>
  <c r="I46" i="21"/>
  <c r="K46" i="21" s="1"/>
  <c r="M46" i="21" s="1"/>
  <c r="I45" i="21"/>
  <c r="K45" i="21" s="1"/>
  <c r="M45" i="21" s="1"/>
  <c r="K43" i="21"/>
  <c r="M43" i="21" s="1"/>
  <c r="I43" i="21"/>
  <c r="I42" i="21"/>
  <c r="K42" i="21" s="1"/>
  <c r="M42" i="21" s="1"/>
  <c r="I41" i="21"/>
  <c r="K41" i="21" s="1"/>
  <c r="M41" i="21" s="1"/>
  <c r="I40" i="21"/>
  <c r="K40" i="21" s="1"/>
  <c r="M40" i="21" s="1"/>
  <c r="K39" i="21"/>
  <c r="M39" i="21" s="1"/>
  <c r="I39" i="21"/>
  <c r="I38" i="21"/>
  <c r="K38" i="21" s="1"/>
  <c r="M38" i="21" s="1"/>
  <c r="I36" i="21"/>
  <c r="K36" i="21" s="1"/>
  <c r="M36" i="21" s="1"/>
  <c r="I35" i="21"/>
  <c r="K35" i="21" s="1"/>
  <c r="M35" i="21" s="1"/>
  <c r="K34" i="21"/>
  <c r="M34" i="21" s="1"/>
  <c r="I34" i="21"/>
  <c r="I33" i="21"/>
  <c r="K33" i="21" s="1"/>
  <c r="M33" i="21" s="1"/>
  <c r="K31" i="21"/>
  <c r="M31" i="21" s="1"/>
  <c r="I31" i="21"/>
  <c r="I30" i="21"/>
  <c r="K30" i="21" s="1"/>
  <c r="M30" i="21" s="1"/>
  <c r="K29" i="21"/>
  <c r="M29" i="21" s="1"/>
  <c r="I29" i="21"/>
  <c r="I27" i="21"/>
  <c r="K27" i="21" s="1"/>
  <c r="M27" i="21" s="1"/>
  <c r="I26" i="21"/>
  <c r="M26" i="21" s="1"/>
  <c r="K25" i="21"/>
  <c r="M25" i="21" s="1"/>
  <c r="I25" i="21"/>
  <c r="I24" i="21"/>
  <c r="K24" i="21" s="1"/>
  <c r="M24" i="21" s="1"/>
  <c r="K22" i="21"/>
  <c r="M22" i="21" s="1"/>
  <c r="I22" i="21"/>
  <c r="I21" i="21"/>
  <c r="K21" i="21" s="1"/>
  <c r="M21" i="21" s="1"/>
  <c r="K20" i="21"/>
  <c r="M20" i="21" s="1"/>
  <c r="I20" i="21"/>
  <c r="I19" i="21"/>
  <c r="K19" i="21" s="1"/>
  <c r="M19" i="21" s="1"/>
  <c r="K17" i="21"/>
  <c r="M17" i="21" s="1"/>
  <c r="I17" i="21"/>
  <c r="I16" i="21"/>
  <c r="K16" i="21" s="1"/>
  <c r="M16" i="21" s="1"/>
  <c r="K15" i="21"/>
  <c r="M15" i="21" s="1"/>
  <c r="I15" i="21"/>
  <c r="I13" i="21"/>
  <c r="K13" i="21" s="1"/>
  <c r="M13" i="21" s="1"/>
  <c r="K12" i="21"/>
  <c r="M12" i="21" s="1"/>
  <c r="I12" i="21"/>
  <c r="I11" i="21"/>
  <c r="K11" i="21" s="1"/>
  <c r="M11" i="21" s="1"/>
  <c r="K10" i="21"/>
  <c r="I10" i="21"/>
  <c r="M10" i="21" s="1"/>
  <c r="I10" i="10" l="1"/>
  <c r="I11" i="10" s="1"/>
  <c r="I12" i="10" s="1"/>
  <c r="B10" i="10"/>
  <c r="F11" i="10"/>
  <c r="F12" i="10" s="1"/>
  <c r="F8" i="11" s="1"/>
  <c r="E11" i="10"/>
  <c r="E12" i="10" s="1"/>
  <c r="E8" i="11" s="1"/>
  <c r="J7" i="10"/>
  <c r="G11" i="10"/>
  <c r="G12" i="10" s="1"/>
  <c r="G8" i="11" s="1"/>
  <c r="H10" i="10"/>
  <c r="C10" i="10"/>
  <c r="J9" i="10"/>
  <c r="M48" i="21"/>
  <c r="K48" i="21"/>
  <c r="I48" i="21"/>
  <c r="J8" i="11" l="1"/>
  <c r="H11" i="10"/>
  <c r="H12" i="10" s="1"/>
  <c r="J8" i="10"/>
  <c r="J10" i="10"/>
  <c r="B11" i="10"/>
  <c r="C11" i="10"/>
  <c r="C12" i="10" s="1"/>
  <c r="J11" i="10" l="1"/>
  <c r="B12" i="10"/>
  <c r="J12" i="10" s="1"/>
  <c r="C16" i="15"/>
  <c r="D16" i="15"/>
  <c r="E16" i="15"/>
  <c r="F16" i="15"/>
  <c r="G16" i="15"/>
  <c r="H16" i="15"/>
  <c r="E11" i="11" l="1"/>
  <c r="C8" i="19"/>
  <c r="D8" i="19"/>
  <c r="E8" i="19"/>
  <c r="E9" i="19" s="1"/>
  <c r="F8" i="19"/>
  <c r="F9" i="19" s="1"/>
  <c r="F11" i="11" s="1"/>
  <c r="G8" i="19"/>
  <c r="H8" i="19"/>
  <c r="H9" i="19" s="1"/>
  <c r="H11" i="11" s="1"/>
  <c r="B8" i="19"/>
  <c r="B9" i="19" s="1"/>
  <c r="B11" i="11" s="1"/>
  <c r="I11" i="19"/>
  <c r="G9" i="19"/>
  <c r="G11" i="11" s="1"/>
  <c r="D9" i="19"/>
  <c r="D11" i="11" s="1"/>
  <c r="C9" i="19"/>
  <c r="C11" i="11" s="1"/>
  <c r="I9" i="19"/>
  <c r="J11" i="11" l="1"/>
  <c r="I6" i="18"/>
  <c r="H6" i="18"/>
  <c r="G6" i="18"/>
  <c r="F6" i="18"/>
  <c r="E6" i="18"/>
  <c r="D6" i="18"/>
  <c r="C6" i="18"/>
  <c r="I15" i="4" l="1"/>
  <c r="C17" i="4"/>
  <c r="D17" i="4"/>
  <c r="E17" i="4"/>
  <c r="F17" i="4"/>
  <c r="G17" i="4"/>
  <c r="H17" i="4"/>
  <c r="B17" i="4"/>
  <c r="B22" i="2"/>
  <c r="B45" i="2" s="1"/>
  <c r="C22" i="2"/>
  <c r="C45" i="2" s="1"/>
  <c r="D22" i="2"/>
  <c r="D45" i="2" s="1"/>
  <c r="E22" i="2"/>
  <c r="E45" i="2" s="1"/>
  <c r="F22" i="2"/>
  <c r="F45" i="2" s="1"/>
  <c r="G22" i="2"/>
  <c r="G45" i="2" s="1"/>
  <c r="H22" i="2"/>
  <c r="H45" i="2" s="1"/>
  <c r="C21" i="2"/>
  <c r="C44" i="2" s="1"/>
  <c r="D21" i="2"/>
  <c r="D44" i="2" s="1"/>
  <c r="E21" i="2"/>
  <c r="E44" i="2" s="1"/>
  <c r="F21" i="2"/>
  <c r="F44" i="2" s="1"/>
  <c r="G21" i="2"/>
  <c r="G44" i="2" s="1"/>
  <c r="H21" i="2"/>
  <c r="H44" i="2" s="1"/>
  <c r="B21" i="2"/>
  <c r="B44" i="2" s="1"/>
  <c r="I23" i="15"/>
  <c r="H59" i="2"/>
  <c r="G59" i="2"/>
  <c r="F59" i="2"/>
  <c r="E59" i="2"/>
  <c r="D59" i="2"/>
  <c r="C59" i="2"/>
  <c r="B59" i="2"/>
  <c r="H54" i="2"/>
  <c r="G54" i="2"/>
  <c r="F54" i="2"/>
  <c r="E54" i="2"/>
  <c r="D54" i="2"/>
  <c r="C54" i="2"/>
  <c r="B54" i="2"/>
  <c r="H56" i="2"/>
  <c r="G56" i="2"/>
  <c r="F56" i="2"/>
  <c r="E56" i="2"/>
  <c r="D56" i="2"/>
  <c r="C56" i="2"/>
  <c r="B56" i="2"/>
  <c r="H55" i="2"/>
  <c r="G55" i="2"/>
  <c r="F55" i="2"/>
  <c r="E55" i="2"/>
  <c r="D55" i="2"/>
  <c r="C55" i="2"/>
  <c r="B55" i="2"/>
  <c r="C48" i="2"/>
  <c r="D48" i="2"/>
  <c r="E48" i="2"/>
  <c r="F48" i="2"/>
  <c r="G48" i="2"/>
  <c r="H48" i="2"/>
  <c r="B48" i="2"/>
  <c r="I22" i="15"/>
  <c r="C15" i="4"/>
  <c r="D15" i="4"/>
  <c r="E15" i="4"/>
  <c r="F15" i="4"/>
  <c r="G15" i="4"/>
  <c r="H15" i="4"/>
  <c r="B15" i="4"/>
  <c r="I10" i="15"/>
  <c r="I14" i="15" s="1"/>
  <c r="I9" i="15"/>
  <c r="I41" i="2"/>
  <c r="I12" i="15" l="1"/>
  <c r="I57" i="2"/>
  <c r="I29" i="2" l="1"/>
  <c r="I30" i="2"/>
  <c r="I31" i="2"/>
  <c r="I32" i="2"/>
  <c r="I37" i="2"/>
  <c r="I28" i="2"/>
  <c r="B49" i="17" l="1"/>
  <c r="I18" i="17"/>
  <c r="B16" i="17"/>
  <c r="B28" i="17" s="1"/>
  <c r="B39" i="17" s="1"/>
  <c r="B48" i="17" s="1"/>
  <c r="B50" i="17" l="1"/>
  <c r="B60" i="17"/>
  <c r="I25" i="2" l="1"/>
  <c r="C80" i="16"/>
  <c r="C77" i="16"/>
  <c r="C72" i="16"/>
  <c r="C68" i="16"/>
  <c r="C67" i="16"/>
  <c r="C64" i="16"/>
  <c r="C63" i="16"/>
  <c r="C60" i="16"/>
  <c r="C59" i="16"/>
  <c r="C56" i="16"/>
  <c r="C55" i="16"/>
  <c r="C47" i="16"/>
  <c r="C46" i="16"/>
  <c r="C43" i="16"/>
  <c r="C42" i="16"/>
  <c r="C39" i="16"/>
  <c r="C38" i="16"/>
  <c r="C35" i="16"/>
  <c r="C34" i="16"/>
  <c r="C31" i="16"/>
  <c r="C30" i="16"/>
  <c r="C26" i="16"/>
  <c r="C24" i="16"/>
  <c r="C23" i="16"/>
  <c r="C18" i="16"/>
  <c r="C17" i="16"/>
  <c r="C16" i="16"/>
  <c r="C11" i="16"/>
  <c r="C49" i="16" l="1"/>
  <c r="C51" i="16" s="1"/>
  <c r="C89" i="16" s="1"/>
  <c r="C91" i="16" s="1"/>
  <c r="C92" i="16" s="1"/>
  <c r="I67" i="2"/>
  <c r="H23" i="2"/>
  <c r="H41" i="2" s="1"/>
  <c r="H18" i="2"/>
  <c r="H15" i="2"/>
  <c r="H8" i="2"/>
  <c r="H12" i="2" s="1"/>
  <c r="C19" i="15" l="1"/>
  <c r="C62" i="2" s="1"/>
  <c r="C17" i="15"/>
  <c r="H16" i="2"/>
  <c r="C10" i="11" l="1"/>
  <c r="C20" i="15"/>
  <c r="F19" i="15" l="1"/>
  <c r="F62" i="2" s="1"/>
  <c r="F17" i="15"/>
  <c r="E19" i="15"/>
  <c r="E62" i="2" s="1"/>
  <c r="E17" i="15"/>
  <c r="H19" i="15"/>
  <c r="H62" i="2" s="1"/>
  <c r="H17" i="15"/>
  <c r="D19" i="15"/>
  <c r="D62" i="2" s="1"/>
  <c r="D17" i="15"/>
  <c r="G19" i="15"/>
  <c r="G62" i="2" s="1"/>
  <c r="G17" i="15"/>
  <c r="D10" i="11" l="1"/>
  <c r="D20" i="15"/>
  <c r="E10" i="11"/>
  <c r="E20" i="15"/>
  <c r="F10" i="11"/>
  <c r="F20" i="15"/>
  <c r="G10" i="11"/>
  <c r="G20" i="15"/>
  <c r="H10" i="11"/>
  <c r="H20" i="15"/>
  <c r="U49" i="12" l="1"/>
  <c r="U59" i="12"/>
  <c r="Y8" i="12"/>
  <c r="Y9" i="12"/>
  <c r="Y10" i="12"/>
  <c r="Y11" i="12"/>
  <c r="Y12" i="12"/>
  <c r="Y7" i="12"/>
  <c r="L37" i="12" l="1"/>
  <c r="L42" i="12"/>
  <c r="L38" i="12" l="1"/>
  <c r="S32" i="12"/>
  <c r="S33" i="12" s="1"/>
  <c r="S34" i="12" s="1"/>
  <c r="S28" i="12"/>
  <c r="D21" i="12"/>
  <c r="D23" i="12"/>
  <c r="C21" i="12"/>
  <c r="L31" i="12"/>
  <c r="L35" i="12"/>
  <c r="L36" i="12" s="1"/>
  <c r="J23" i="14" l="1"/>
  <c r="C25" i="14"/>
  <c r="D25" i="14"/>
  <c r="E25" i="14"/>
  <c r="F25" i="14"/>
  <c r="G25" i="14"/>
  <c r="H25" i="14"/>
  <c r="I25" i="14"/>
  <c r="J25" i="14"/>
  <c r="B25" i="14"/>
  <c r="C23" i="14"/>
  <c r="D23" i="14"/>
  <c r="E23" i="14"/>
  <c r="F23" i="14"/>
  <c r="G23" i="14"/>
  <c r="H23" i="14"/>
  <c r="I23" i="14"/>
  <c r="B23" i="14"/>
  <c r="C21" i="14"/>
  <c r="D21" i="14"/>
  <c r="E21" i="14"/>
  <c r="F21" i="14"/>
  <c r="G21" i="14"/>
  <c r="H21" i="14"/>
  <c r="I21" i="14"/>
  <c r="B21" i="14"/>
  <c r="J21" i="14"/>
  <c r="B12" i="4" l="1"/>
  <c r="C12" i="4"/>
  <c r="D12" i="4"/>
  <c r="E12" i="4"/>
  <c r="F12" i="4"/>
  <c r="G12" i="4"/>
  <c r="H12" i="4"/>
  <c r="C10" i="12" l="1"/>
  <c r="D10" i="12"/>
  <c r="U22" i="12" l="1"/>
  <c r="V22" i="12"/>
  <c r="U20" i="12"/>
  <c r="B15" i="2"/>
  <c r="C15" i="2"/>
  <c r="D15" i="2"/>
  <c r="E15" i="2"/>
  <c r="F15" i="2"/>
  <c r="G15" i="2"/>
  <c r="C45" i="12"/>
  <c r="C42" i="12"/>
  <c r="C43" i="12"/>
  <c r="C40" i="12"/>
  <c r="U21" i="12"/>
  <c r="U23" i="12" l="1"/>
  <c r="C32" i="12" l="1"/>
  <c r="C31" i="12"/>
  <c r="B8" i="2"/>
  <c r="C8" i="2"/>
  <c r="D8" i="2"/>
  <c r="E8" i="2"/>
  <c r="F8" i="2"/>
  <c r="G8" i="2"/>
  <c r="C35" i="12"/>
  <c r="C33" i="12"/>
  <c r="C30" i="12"/>
  <c r="B23" i="2"/>
  <c r="B41" i="2" s="1"/>
  <c r="C23" i="2"/>
  <c r="C41" i="2" s="1"/>
  <c r="D23" i="2"/>
  <c r="D41" i="2" s="1"/>
  <c r="E23" i="2"/>
  <c r="E41" i="2" s="1"/>
  <c r="F23" i="2"/>
  <c r="F41" i="2" s="1"/>
  <c r="G23" i="2"/>
  <c r="G41" i="2" s="1"/>
  <c r="W11" i="12"/>
  <c r="H78" i="13" l="1"/>
  <c r="H76" i="13"/>
  <c r="H69" i="13"/>
  <c r="H67" i="13"/>
  <c r="H63" i="13"/>
  <c r="H60" i="13"/>
  <c r="H55" i="13"/>
  <c r="H51" i="13"/>
  <c r="R63" i="13"/>
  <c r="R55" i="13"/>
  <c r="R51" i="13"/>
  <c r="R78" i="13"/>
  <c r="R76" i="13"/>
  <c r="R69" i="13"/>
  <c r="R67" i="13"/>
  <c r="R60" i="13"/>
  <c r="O76" i="13"/>
  <c r="O78" i="13"/>
  <c r="O69" i="13"/>
  <c r="O67" i="13"/>
  <c r="O63" i="13"/>
  <c r="O60" i="13"/>
  <c r="O55" i="13"/>
  <c r="O51" i="13"/>
  <c r="R28" i="13"/>
  <c r="P65" i="13"/>
  <c r="R39" i="13"/>
  <c r="R41" i="13"/>
  <c r="R38" i="13"/>
  <c r="T31" i="13"/>
  <c r="T30" i="13"/>
  <c r="Q32" i="13"/>
  <c r="R26" i="13"/>
  <c r="M39" i="13"/>
  <c r="M40" i="13"/>
  <c r="J40" i="13"/>
  <c r="I40" i="13"/>
  <c r="G40" i="13"/>
  <c r="C40" i="13"/>
  <c r="D40" i="13"/>
  <c r="C39" i="13"/>
  <c r="D39" i="13"/>
  <c r="E39" i="13"/>
  <c r="F40" i="13"/>
  <c r="F39" i="13"/>
  <c r="G39" i="13"/>
  <c r="H39" i="13"/>
  <c r="H40" i="13"/>
  <c r="L39" i="13"/>
  <c r="L40" i="13"/>
  <c r="K39" i="13"/>
  <c r="K40" i="13"/>
  <c r="J39" i="13"/>
  <c r="I39" i="13"/>
  <c r="C104" i="13"/>
  <c r="M80" i="13"/>
  <c r="K80" i="13"/>
  <c r="J80" i="13"/>
  <c r="I80" i="13"/>
  <c r="D80" i="13"/>
  <c r="S78" i="13"/>
  <c r="P78" i="13"/>
  <c r="G78" i="13"/>
  <c r="P76" i="13"/>
  <c r="G76" i="13"/>
  <c r="S76" i="13"/>
  <c r="G75" i="13"/>
  <c r="S74" i="13"/>
  <c r="P74" i="13"/>
  <c r="G74" i="13"/>
  <c r="S73" i="13"/>
  <c r="P73" i="13"/>
  <c r="G73" i="13"/>
  <c r="P72" i="13"/>
  <c r="G72" i="13"/>
  <c r="S72" i="13"/>
  <c r="G69" i="13"/>
  <c r="S67" i="13"/>
  <c r="P67" i="13"/>
  <c r="G67" i="13"/>
  <c r="S65" i="13"/>
  <c r="G65" i="13"/>
  <c r="P63" i="13"/>
  <c r="G63" i="13"/>
  <c r="S63" i="13"/>
  <c r="G62" i="13"/>
  <c r="S60" i="13"/>
  <c r="P60" i="13"/>
  <c r="G60" i="13"/>
  <c r="S59" i="13"/>
  <c r="P59" i="13"/>
  <c r="G59" i="13"/>
  <c r="P58" i="13"/>
  <c r="G58" i="13"/>
  <c r="S58" i="13"/>
  <c r="G56" i="13"/>
  <c r="E56" i="13"/>
  <c r="E80" i="13"/>
  <c r="G55" i="13"/>
  <c r="S54" i="13"/>
  <c r="P54" i="13"/>
  <c r="G54" i="13"/>
  <c r="S52" i="13"/>
  <c r="P52" i="13"/>
  <c r="G52" i="13"/>
  <c r="C52" i="13"/>
  <c r="C80" i="13"/>
  <c r="S51" i="13"/>
  <c r="P51" i="13"/>
  <c r="G51" i="13"/>
  <c r="P50" i="13"/>
  <c r="G50" i="13"/>
  <c r="S50" i="13"/>
  <c r="O34" i="13"/>
  <c r="O31" i="13"/>
  <c r="O28" i="13"/>
  <c r="L28" i="13"/>
  <c r="K28" i="13"/>
  <c r="O25" i="13"/>
  <c r="H25" i="13"/>
  <c r="O23" i="13"/>
  <c r="O13" i="13"/>
  <c r="O12" i="13"/>
  <c r="O10" i="13"/>
  <c r="O9" i="13"/>
  <c r="O8" i="13"/>
  <c r="O37" i="13"/>
  <c r="R42" i="13"/>
  <c r="E40" i="13"/>
  <c r="R27" i="13"/>
  <c r="S38" i="13"/>
  <c r="T38" i="13"/>
  <c r="O39" i="13"/>
  <c r="O40" i="13"/>
  <c r="S56" i="13"/>
  <c r="S55" i="13"/>
  <c r="S75" i="13"/>
  <c r="G80" i="13"/>
  <c r="P55" i="13"/>
  <c r="P80" i="13"/>
  <c r="P56" i="13"/>
  <c r="P62" i="13"/>
  <c r="S62" i="13"/>
  <c r="P69" i="13"/>
  <c r="S69" i="13"/>
  <c r="P75" i="13"/>
  <c r="R30" i="13"/>
  <c r="R31" i="13"/>
  <c r="S80" i="13"/>
  <c r="V11" i="12"/>
  <c r="I21" i="12"/>
  <c r="B18" i="2"/>
  <c r="C18" i="2"/>
  <c r="D18" i="2"/>
  <c r="E18" i="2"/>
  <c r="F18" i="2"/>
  <c r="G18" i="2"/>
  <c r="I10" i="4"/>
  <c r="B8" i="4"/>
  <c r="B10" i="4" s="1"/>
  <c r="B11" i="4" s="1"/>
  <c r="C8" i="4"/>
  <c r="C10" i="4" s="1"/>
  <c r="D8" i="4"/>
  <c r="D10" i="4" s="1"/>
  <c r="E8" i="4"/>
  <c r="E10" i="4" s="1"/>
  <c r="F8" i="4"/>
  <c r="F10" i="4" s="1"/>
  <c r="G8" i="4"/>
  <c r="G10" i="4" s="1"/>
  <c r="H8" i="4"/>
  <c r="H10" i="4" s="1"/>
  <c r="W22" i="12"/>
  <c r="I22" i="12"/>
  <c r="I8" i="12"/>
  <c r="I9" i="12"/>
  <c r="I6" i="12"/>
  <c r="H18" i="12"/>
  <c r="C18" i="12" s="1"/>
  <c r="W20" i="12"/>
  <c r="H13" i="12"/>
  <c r="H17" i="12" s="1"/>
  <c r="H23" i="12" s="1"/>
  <c r="G13" i="12"/>
  <c r="G17" i="12" s="1"/>
  <c r="G23" i="12" s="1"/>
  <c r="F7" i="12"/>
  <c r="F13" i="12" s="1"/>
  <c r="F17" i="12" s="1"/>
  <c r="F23" i="12" s="1"/>
  <c r="E7" i="12"/>
  <c r="C7" i="12" s="1"/>
  <c r="I11" i="12"/>
  <c r="I19" i="12"/>
  <c r="I11" i="8"/>
  <c r="G9" i="8"/>
  <c r="G11" i="8" s="1"/>
  <c r="H9" i="8"/>
  <c r="H11" i="8" s="1"/>
  <c r="E9" i="8"/>
  <c r="E11" i="8" s="1"/>
  <c r="D9" i="8"/>
  <c r="D11" i="8" s="1"/>
  <c r="C9" i="8"/>
  <c r="C11" i="8" s="1"/>
  <c r="F9" i="8"/>
  <c r="F11" i="8" s="1"/>
  <c r="B9" i="8"/>
  <c r="B11" i="8" s="1"/>
  <c r="I9" i="2"/>
  <c r="I10" i="2"/>
  <c r="I14" i="2" s="1"/>
  <c r="B12" i="2"/>
  <c r="B16" i="2" s="1"/>
  <c r="G12" i="2"/>
  <c r="G16" i="2" s="1"/>
  <c r="F12" i="2"/>
  <c r="F16" i="2" s="1"/>
  <c r="E12" i="2"/>
  <c r="E16" i="2" s="1"/>
  <c r="C12" i="2"/>
  <c r="C16" i="2" s="1"/>
  <c r="D12" i="2"/>
  <c r="D16" i="2" s="1"/>
  <c r="C12" i="8" l="1"/>
  <c r="C13" i="8" s="1"/>
  <c r="C14" i="8" s="1"/>
  <c r="C15" i="8" s="1"/>
  <c r="C13" i="11" s="1"/>
  <c r="I12" i="8"/>
  <c r="I13" i="8" s="1"/>
  <c r="I14" i="8" s="1"/>
  <c r="I15" i="8" s="1"/>
  <c r="E12" i="8"/>
  <c r="E13" i="8" s="1"/>
  <c r="E14" i="8" s="1"/>
  <c r="E15" i="8" s="1"/>
  <c r="E13" i="11" s="1"/>
  <c r="G12" i="8"/>
  <c r="G13" i="8" s="1"/>
  <c r="G14" i="8" s="1"/>
  <c r="G15" i="8" s="1"/>
  <c r="G13" i="11" s="1"/>
  <c r="D12" i="8"/>
  <c r="D13" i="8" s="1"/>
  <c r="D14" i="8" s="1"/>
  <c r="D15" i="8" s="1"/>
  <c r="D13" i="11" s="1"/>
  <c r="B12" i="8"/>
  <c r="B13" i="8" s="1"/>
  <c r="B14" i="8" s="1"/>
  <c r="B15" i="8" s="1"/>
  <c r="B13" i="11" s="1"/>
  <c r="F12" i="8"/>
  <c r="F13" i="8" s="1"/>
  <c r="H12" i="8"/>
  <c r="H13" i="8" s="1"/>
  <c r="H14" i="8" s="1"/>
  <c r="H15" i="8" s="1"/>
  <c r="H13" i="11" s="1"/>
  <c r="G11" i="4"/>
  <c r="G13" i="4" s="1"/>
  <c r="D11" i="4"/>
  <c r="D13" i="4" s="1"/>
  <c r="B13" i="4"/>
  <c r="H11" i="4"/>
  <c r="H13" i="4" s="1"/>
  <c r="I12" i="2"/>
  <c r="I16" i="2" s="1"/>
  <c r="I17" i="2" s="1"/>
  <c r="C11" i="4"/>
  <c r="C13" i="4" s="1"/>
  <c r="F11" i="4"/>
  <c r="F13" i="4" s="1"/>
  <c r="E11" i="4"/>
  <c r="E13" i="4" s="1"/>
  <c r="I11" i="4"/>
  <c r="I13" i="4" s="1"/>
  <c r="C13" i="12"/>
  <c r="C17" i="12" s="1"/>
  <c r="C19" i="12" s="1"/>
  <c r="C23" i="12" s="1"/>
  <c r="E13" i="12"/>
  <c r="E17" i="12" s="1"/>
  <c r="E23" i="12" s="1"/>
  <c r="I18" i="12"/>
  <c r="V21" i="12"/>
  <c r="I7" i="12"/>
  <c r="F14" i="8" l="1"/>
  <c r="F15" i="8"/>
  <c r="F13" i="11" s="1"/>
  <c r="B14" i="4"/>
  <c r="B16" i="4" s="1"/>
  <c r="G14" i="4"/>
  <c r="G16" i="4" s="1"/>
  <c r="C14" i="4"/>
  <c r="C16" i="4" s="1"/>
  <c r="I14" i="4"/>
  <c r="I16" i="4"/>
  <c r="I18" i="4" s="1"/>
  <c r="D14" i="4"/>
  <c r="D16" i="4" s="1"/>
  <c r="E14" i="4"/>
  <c r="E16" i="4"/>
  <c r="H14" i="4"/>
  <c r="H16" i="4" s="1"/>
  <c r="F14" i="4"/>
  <c r="F16" i="4"/>
  <c r="J13" i="11"/>
  <c r="H17" i="2"/>
  <c r="H38" i="2" s="1"/>
  <c r="H51" i="2" s="1"/>
  <c r="W21" i="12"/>
  <c r="W23" i="12" s="1"/>
  <c r="V23" i="12"/>
  <c r="E17" i="2"/>
  <c r="E38" i="2" s="1"/>
  <c r="E51" i="2" s="1"/>
  <c r="D17" i="2"/>
  <c r="D38" i="2" s="1"/>
  <c r="D51" i="2" s="1"/>
  <c r="C17" i="2"/>
  <c r="C38" i="2" s="1"/>
  <c r="C51" i="2" s="1"/>
  <c r="F17" i="2"/>
  <c r="F38" i="2" s="1"/>
  <c r="F51" i="2" s="1"/>
  <c r="B17" i="2"/>
  <c r="B38" i="2" s="1"/>
  <c r="B51" i="2" s="1"/>
  <c r="G17" i="2"/>
  <c r="G38" i="2" s="1"/>
  <c r="G51" i="2" s="1"/>
  <c r="I10" i="12"/>
  <c r="D13" i="12"/>
  <c r="C18" i="4" l="1"/>
  <c r="C9" i="11"/>
  <c r="B9" i="11"/>
  <c r="B18" i="4"/>
  <c r="G18" i="4"/>
  <c r="G9" i="11"/>
  <c r="F9" i="11"/>
  <c r="F18" i="4"/>
  <c r="E9" i="11"/>
  <c r="E18" i="4"/>
  <c r="H9" i="11"/>
  <c r="H18" i="4"/>
  <c r="D9" i="11"/>
  <c r="D18" i="4"/>
  <c r="I38" i="2"/>
  <c r="D17" i="12"/>
  <c r="I13" i="12"/>
  <c r="J9" i="11" l="1"/>
  <c r="I17" i="12"/>
  <c r="I23" i="12" s="1"/>
  <c r="I17" i="15" l="1"/>
  <c r="I19" i="15"/>
  <c r="B16" i="15"/>
  <c r="B19" i="15" s="1"/>
  <c r="B62" i="2" s="1"/>
  <c r="I20" i="15" l="1"/>
  <c r="B17" i="15"/>
  <c r="B10" i="11" l="1"/>
  <c r="B20" i="15"/>
  <c r="J10" i="11" l="1"/>
  <c r="H53" i="2"/>
  <c r="H60" i="2" s="1"/>
  <c r="H7" i="11" s="1"/>
  <c r="H12" i="11" s="1"/>
  <c r="H14" i="11" s="1"/>
  <c r="H63" i="2" l="1"/>
  <c r="G53" i="2"/>
  <c r="G60" i="2" s="1"/>
  <c r="G7" i="11" s="1"/>
  <c r="G12" i="11" s="1"/>
  <c r="G14" i="11" s="1"/>
  <c r="B53" i="2"/>
  <c r="B60" i="2" s="1"/>
  <c r="B63" i="2" s="1"/>
  <c r="E53" i="2"/>
  <c r="E60" i="2" s="1"/>
  <c r="D53" i="2"/>
  <c r="D60" i="2" s="1"/>
  <c r="C53" i="2"/>
  <c r="C60" i="2" s="1"/>
  <c r="F53" i="2"/>
  <c r="F60" i="2" s="1"/>
  <c r="F7" i="11" s="1"/>
  <c r="F12" i="11" s="1"/>
  <c r="F14" i="11" s="1"/>
  <c r="I51" i="2"/>
  <c r="I53" i="2" s="1"/>
  <c r="D63" i="2" l="1"/>
  <c r="D7" i="11"/>
  <c r="D12" i="11" s="1"/>
  <c r="D14" i="11" s="1"/>
  <c r="C63" i="2"/>
  <c r="C7" i="11"/>
  <c r="C12" i="11" s="1"/>
  <c r="C14" i="11" s="1"/>
  <c r="E63" i="2"/>
  <c r="E7" i="11"/>
  <c r="E12" i="11" s="1"/>
  <c r="E14" i="11" s="1"/>
  <c r="G63" i="2"/>
  <c r="F63" i="2"/>
  <c r="B7" i="11"/>
  <c r="B12" i="11" s="1"/>
  <c r="B14" i="11" s="1"/>
  <c r="I60" i="2"/>
  <c r="I63" i="2" s="1"/>
  <c r="J7" i="11" l="1"/>
  <c r="J12" i="11" s="1"/>
  <c r="J14" i="11" s="1"/>
</calcChain>
</file>

<file path=xl/comments1.xml><?xml version="1.0" encoding="utf-8"?>
<comments xmlns="http://schemas.openxmlformats.org/spreadsheetml/2006/main">
  <authors>
    <author>ngt_citrixprovision</author>
  </authors>
  <commentList>
    <comment ref="E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what is this and why not included?</t>
        </r>
      </text>
    </comment>
    <comment ref="H23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add in £52.5k as transfer to get accurate figure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ngt_citrixprovision:</t>
        </r>
        <r>
          <rPr>
            <sz val="8"/>
            <color indexed="81"/>
            <rFont val="Tahoma"/>
            <family val="2"/>
          </rPr>
          <t xml:space="preserve">
already included in Baselin for 19.20 so not an in year transfer</t>
        </r>
      </text>
    </comment>
  </commentList>
</comments>
</file>

<file path=xl/sharedStrings.xml><?xml version="1.0" encoding="utf-8"?>
<sst xmlns="http://schemas.openxmlformats.org/spreadsheetml/2006/main" count="965" uniqueCount="487">
  <si>
    <t>Aneurin Bevan UHB</t>
  </si>
  <si>
    <t>Betsi Cadwaladr UHB</t>
  </si>
  <si>
    <t>Cardiff &amp; Vale UHB</t>
  </si>
  <si>
    <t>Cwm Taf UHB</t>
  </si>
  <si>
    <t>Hywel Dda UHB</t>
  </si>
  <si>
    <t>Powys THB</t>
  </si>
  <si>
    <t>EASC</t>
  </si>
  <si>
    <t>Requirement</t>
  </si>
  <si>
    <t>£m</t>
  </si>
  <si>
    <t>BCUHB</t>
  </si>
  <si>
    <t>Quality &amp; Delivery Framework Agreement</t>
  </si>
  <si>
    <t>AB</t>
  </si>
  <si>
    <t>BC</t>
  </si>
  <si>
    <t>C&amp;V</t>
  </si>
  <si>
    <t>HD</t>
  </si>
  <si>
    <t>2019/20</t>
  </si>
  <si>
    <t>2020/21</t>
  </si>
  <si>
    <t>Total</t>
  </si>
  <si>
    <t>SB</t>
  </si>
  <si>
    <t>CTM</t>
  </si>
  <si>
    <t>Po</t>
  </si>
  <si>
    <t>19/20 WAST adjusted Baseline</t>
  </si>
  <si>
    <t>2 % uplift</t>
  </si>
  <si>
    <t>Healthier Wales 1% System Reallocation (recurrent)</t>
  </si>
  <si>
    <t>Healthier Wales 1% Non Recurrent Allocation Reserve</t>
  </si>
  <si>
    <t>2020/21 Recurrent Baseline</t>
  </si>
  <si>
    <t>Band 6 Paramedics Uplift</t>
  </si>
  <si>
    <t>Airwaves Reduction</t>
  </si>
  <si>
    <t>Adjustments for 2019/20 In Year Non Recurrent Funds:</t>
  </si>
  <si>
    <t>Swansea Bay UHB</t>
  </si>
  <si>
    <t>Healthier Wales Systems Reallocation (Recurrent)</t>
  </si>
  <si>
    <t>Healthier Wales Systems Reallocation (Non Recurrent)</t>
  </si>
  <si>
    <t>Uplift 2% on recurrent baseline</t>
  </si>
  <si>
    <t>2019/20 EMRTS Requirement through EASC</t>
  </si>
  <si>
    <t>EASC Commissioning Support</t>
  </si>
  <si>
    <t xml:space="preserve">Velindre NHS </t>
  </si>
  <si>
    <t>Trust</t>
  </si>
  <si>
    <t>Healthier Wales</t>
  </si>
  <si>
    <t>Systems Reallocation 2019/20</t>
  </si>
  <si>
    <t>EMRTS</t>
  </si>
  <si>
    <t>EMS</t>
  </si>
  <si>
    <t>NEPTS</t>
  </si>
  <si>
    <t>NCCU</t>
  </si>
  <si>
    <t>LHBs</t>
  </si>
  <si>
    <t>WAST5</t>
  </si>
  <si>
    <t xml:space="preserve">Reallocate to centralise </t>
  </si>
  <si>
    <t>WAST6</t>
  </si>
  <si>
    <t>Application</t>
  </si>
  <si>
    <t>Recurrent Funds committed</t>
  </si>
  <si>
    <t>WAST1</t>
  </si>
  <si>
    <t>WAST2</t>
  </si>
  <si>
    <t>P1</t>
  </si>
  <si>
    <t>BC1</t>
  </si>
  <si>
    <t>SB1</t>
  </si>
  <si>
    <t>CV2</t>
  </si>
  <si>
    <t>Recurrent</t>
  </si>
  <si>
    <t>Non recurrent</t>
  </si>
  <si>
    <t>Systems Reallocation 2020/21</t>
  </si>
  <si>
    <t>Application Recurrent initaives impact 2020/21</t>
  </si>
  <si>
    <t>Total System Reallocation</t>
  </si>
  <si>
    <t>WAST approved initiatives (note, includes £136k for NEPTS)</t>
  </si>
  <si>
    <t>Recurrent impact of schemes committed in 2019/20 (note includes £272k for NEPTS)</t>
  </si>
  <si>
    <t>Notes</t>
  </si>
  <si>
    <t>Pay Award</t>
  </si>
  <si>
    <t>Funding allocation by LHB per WHSSC tables</t>
  </si>
  <si>
    <t>Cwm Taf Morgannwg UHB</t>
  </si>
  <si>
    <t>2% uplift</t>
  </si>
  <si>
    <t>Non recurrent funds allocated to Health Boards - P1, BC1, SB1 and CV2</t>
  </si>
  <si>
    <t>Opening balance</t>
  </si>
  <si>
    <t>Closing Balance</t>
  </si>
  <si>
    <t>Closing balance</t>
  </si>
  <si>
    <t>Balance to allocate in 2020/21</t>
  </si>
  <si>
    <t>Values 18/19</t>
  </si>
  <si>
    <t>Adjustments</t>
  </si>
  <si>
    <t>Mapping Exercise to Commissioner</t>
  </si>
  <si>
    <t>Inflation Uplifts Other</t>
  </si>
  <si>
    <t>Values</t>
  </si>
  <si>
    <t>Organisation</t>
  </si>
  <si>
    <t>Service Name</t>
  </si>
  <si>
    <t>Rollover Annual Value</t>
  </si>
  <si>
    <t>Plus 2% Uplift for 2018/19</t>
  </si>
  <si>
    <t>Transfer of   Services from HBs</t>
  </si>
  <si>
    <t>Revised Contract Value 2018/19</t>
  </si>
  <si>
    <t>Full Year Impact 19/20</t>
  </si>
  <si>
    <t>Income Transfers 19/20</t>
  </si>
  <si>
    <t>Pay Award 18/19</t>
  </si>
  <si>
    <t>Pay Award 19/20</t>
  </si>
  <si>
    <t>Planned Income 19/20</t>
  </si>
  <si>
    <t>Growth Uplift</t>
  </si>
  <si>
    <t>Healthy Wales Plan</t>
  </si>
  <si>
    <t>£</t>
  </si>
  <si>
    <t>ABMUHB</t>
  </si>
  <si>
    <t>PCS</t>
  </si>
  <si>
    <t>Transfer of Work documents - contract covered through NHSWSSP</t>
  </si>
  <si>
    <t>Net Centre</t>
  </si>
  <si>
    <t>ABUHB</t>
  </si>
  <si>
    <t>Discharge</t>
  </si>
  <si>
    <t>Transfer of service</t>
  </si>
  <si>
    <t>PCS (Chester)</t>
  </si>
  <si>
    <t>C&amp;VUHB</t>
  </si>
  <si>
    <t>TransferRepatriation C&amp;V UHB residents &amp; ECRs</t>
  </si>
  <si>
    <t>Transfer - St J - Discharge &amp; Transfer Contract (10 months)</t>
  </si>
  <si>
    <t>CTUHB</t>
  </si>
  <si>
    <t>HDUHB</t>
  </si>
  <si>
    <t>PtHB</t>
  </si>
  <si>
    <t>OUTSIDE OF POWYS</t>
  </si>
  <si>
    <t>ECR CARS</t>
  </si>
  <si>
    <t>East Gloucester Contract</t>
  </si>
  <si>
    <t>Velindre NHS Trust</t>
  </si>
  <si>
    <t>Totals</t>
  </si>
  <si>
    <t>Welsh Ambulance Services NHS Trust</t>
  </si>
  <si>
    <t>NEPTS anticipated contract income 20/21  - Commisioning Framework</t>
  </si>
  <si>
    <t>Contract Values 19/20</t>
  </si>
  <si>
    <t>Contract Values</t>
  </si>
  <si>
    <t>Health Board</t>
  </si>
  <si>
    <t>Contract</t>
  </si>
  <si>
    <t>Transfer of Services from HBs 19-20 (FYE)</t>
  </si>
  <si>
    <t>Revised Contract Value 2019/20</t>
  </si>
  <si>
    <t>Verified Income Transfers 20/21</t>
  </si>
  <si>
    <t xml:space="preserve">Pay Award 20/21 </t>
  </si>
  <si>
    <t xml:space="preserve">2% Growth Uplift </t>
  </si>
  <si>
    <t xml:space="preserve">Planned Income 20/21 </t>
  </si>
  <si>
    <t>Swansea Bay (ABM)</t>
  </si>
  <si>
    <t xml:space="preserve">Transfer - ECRs </t>
  </si>
  <si>
    <t>ABHB</t>
  </si>
  <si>
    <t>BCU</t>
  </si>
  <si>
    <t>CV</t>
  </si>
  <si>
    <t>CT Morgannwg</t>
  </si>
  <si>
    <t>POWYS</t>
  </si>
  <si>
    <t>VELINDRE</t>
  </si>
  <si>
    <t xml:space="preserve">1. Pay Award 20-21 replicates the mapping exercise requested by WG to provide funding via commissioners </t>
  </si>
  <si>
    <t xml:space="preserve">2. Excludes Renal Income paid via by WHSSC within the EASC contract </t>
  </si>
  <si>
    <t>3. Assumed 2% Growth funding expected to flow to WAST via Commissioners</t>
  </si>
  <si>
    <t>4. Excludes non contracted income recovered via HBs for ECRS</t>
  </si>
  <si>
    <t xml:space="preserve">5. Excludes NEPTS Contracts provided to NHS English organisations </t>
  </si>
  <si>
    <t xml:space="preserve">6. Excludes any estimated 'transfer of services' values to WAST from HBs for 20/21 as these figures will require 'due diligence' prior to transfer  </t>
  </si>
  <si>
    <t xml:space="preserve">7. Excludes explorative work on implications of implementing the NEPTS Business Case as this is currently being worked on </t>
  </si>
  <si>
    <t xml:space="preserve">8. Excludes explorative work on implications of implementing the NEPTS Demand &amp; Capacity Review was this is currently being worked on </t>
  </si>
  <si>
    <t>NON CONTRACTED INCOME / OTHER ENGLISH CONTRACT</t>
  </si>
  <si>
    <t>£000</t>
  </si>
  <si>
    <t>WHSSC</t>
  </si>
  <si>
    <t>Renal Patient Reimburesment Charges</t>
  </si>
  <si>
    <t>Private</t>
  </si>
  <si>
    <t>Lease Cars</t>
  </si>
  <si>
    <t>ECRs</t>
  </si>
  <si>
    <t>HDHB</t>
  </si>
  <si>
    <t>ABM</t>
  </si>
  <si>
    <t>Betsi</t>
  </si>
  <si>
    <t>Velindre</t>
  </si>
  <si>
    <t>CT</t>
  </si>
  <si>
    <t>English Contracts</t>
  </si>
  <si>
    <t>UBHT</t>
  </si>
  <si>
    <t>Overall</t>
  </si>
  <si>
    <t>EASC Requirement</t>
  </si>
  <si>
    <t xml:space="preserve">Velindre NHS Trust </t>
  </si>
  <si>
    <t>Transfer of Services</t>
  </si>
  <si>
    <t>Sum of Total in Column</t>
  </si>
  <si>
    <t>Difference</t>
  </si>
  <si>
    <t>Remove figure</t>
  </si>
  <si>
    <t>revised figure</t>
  </si>
  <si>
    <t>Non recurrent funds for APPs</t>
  </si>
  <si>
    <t>Front Line In Year Allocation Reserve (Non Recurrent)</t>
  </si>
  <si>
    <t>Healthier Wales 1% Systems Reallocation to NEPTS (Non recurrent)</t>
  </si>
  <si>
    <t>Healthier Wales 1% System Reallocation from Central EAS (non recurrent)</t>
  </si>
  <si>
    <t>Healthier Wales 1% System Reallocation to central EAS (recurrent)</t>
  </si>
  <si>
    <t>Healthier Wales 1% System Reallocation to Central EAS (non recurrent)</t>
  </si>
  <si>
    <t>Healthier Wales 1% System Reallocation from Central EAS (recurrent)</t>
  </si>
  <si>
    <t>Healthier Wales Systems Reallocation from NEPTS and EMRTS (Recurrent)</t>
  </si>
  <si>
    <t>Central Reserve</t>
  </si>
  <si>
    <t>Remove and allocate to central reserve</t>
  </si>
  <si>
    <t>Add back in transfers from NEPTS and EMRTS to central funding reserve</t>
  </si>
  <si>
    <t>per cells E7 and F7</t>
  </si>
  <si>
    <t>Reallocate recurrent funds</t>
  </si>
  <si>
    <t>per cells F8 and G8</t>
  </si>
  <si>
    <t>Reallocate non recurrent funds</t>
  </si>
  <si>
    <t>per cell H9</t>
  </si>
  <si>
    <t>Reallocate non recurrent funds to NEPTS</t>
  </si>
  <si>
    <t>per cell E10</t>
  </si>
  <si>
    <t>Closing Balance EMS 2019/20</t>
  </si>
  <si>
    <t>Opening balance for EMS 2019/20</t>
  </si>
  <si>
    <t>Funding Type</t>
  </si>
  <si>
    <t>NEPTS Transport Solutions</t>
  </si>
  <si>
    <t>NCCU - Research and Evaluation</t>
  </si>
  <si>
    <t>EMRTS Expansion</t>
  </si>
  <si>
    <t>Project Name</t>
  </si>
  <si>
    <t>Project ID</t>
  </si>
  <si>
    <t>WAST Mental wellbeing by design</t>
  </si>
  <si>
    <t>Falls Response Model</t>
  </si>
  <si>
    <t>Older Peoples Framework</t>
  </si>
  <si>
    <t>Powys Respiratory MDT Response - 3 month trail</t>
  </si>
  <si>
    <t>Betsi SICAT Project</t>
  </si>
  <si>
    <t>SBUHB  GP stack project</t>
  </si>
  <si>
    <t>Clinical Pathway Redesign for Patients Diagnosed with non-ST Elevation Acute Coronary Syndrome (NSTEACS)</t>
  </si>
  <si>
    <t>1% Healthier Wales Funding allocation 2019/20 Opening Balance</t>
  </si>
  <si>
    <t>Opening Balance EMS 2020/21</t>
  </si>
  <si>
    <t>Reallocate recurrent funds to NEPTS</t>
  </si>
  <si>
    <t>Add back in non recurrent balances from NEPTS and LHBs</t>
  </si>
  <si>
    <t>Closing Balance EMS 2020/21</t>
  </si>
  <si>
    <t>EMS - Balancing Figure Calculation for IMTP EMS Tables</t>
  </si>
  <si>
    <t>per cells E18 and H18</t>
  </si>
  <si>
    <t>per cell E21</t>
  </si>
  <si>
    <t>Healthier Wales 1% Systems Reallocation to NEPTS (Recurrent)</t>
  </si>
  <si>
    <t>EMS and NEPTS Application</t>
  </si>
  <si>
    <t>Non Recurrent Systems Reallocation</t>
  </si>
  <si>
    <t>Recurrent Systems Reallocation</t>
  </si>
  <si>
    <t>Healthier Wales Awarding Evaluation Panel (HWAEP) - Approved Initatives</t>
  </si>
  <si>
    <t>Summary of Applied Initiatives</t>
  </si>
  <si>
    <t>Approved initiatives - Figures in £m</t>
  </si>
  <si>
    <r>
      <t xml:space="preserve">See </t>
    </r>
    <r>
      <rPr>
        <i/>
        <sz val="11"/>
        <color theme="1"/>
        <rFont val="Calibri"/>
        <family val="2"/>
        <scheme val="minor"/>
      </rPr>
      <t>"EMS - Balancing Figure Calculation for IMTP EMS Tables"</t>
    </r>
    <r>
      <rPr>
        <sz val="11"/>
        <color theme="1"/>
        <rFont val="Calibri"/>
        <family val="2"/>
        <scheme val="minor"/>
      </rPr>
      <t xml:space="preserve"> in Healthier Wales Tab for further details</t>
    </r>
  </si>
  <si>
    <t>EMRTS Expansion Plan</t>
  </si>
  <si>
    <t>Net Adjustment to Risk Share Profiles</t>
  </si>
  <si>
    <t xml:space="preserve">The impact of the transfers of 1% Healthier Wales funds between EMS, NEPTS and EMRTS, each of which have different risk share profiles from WHSSC, has resulted in a minor reallocation of funding between health boards. </t>
  </si>
  <si>
    <t>Sum of impact of 1% Healthier Wales Transfers due to risk share differences</t>
  </si>
  <si>
    <t>Net impact to Health Boards as a result of transfers after Risk Share Adjustment</t>
  </si>
  <si>
    <t>Risk Share Adjustment to be applied to NEPTS</t>
  </si>
  <si>
    <t>Applied to NEPTS as Velindre was impacted and NEPTS is the only service which includes Velindre</t>
  </si>
  <si>
    <t>In order to compensate for this, an adjustment for risk share has been applied to the NEPTS position as Velindre has been impacted by this in addition to Health Boards</t>
  </si>
  <si>
    <t>Summary of 1% Healthier Wales Transfer Activity</t>
  </si>
  <si>
    <t>Transfer Tab</t>
  </si>
  <si>
    <t>EMRTS Adjustment</t>
  </si>
  <si>
    <t>Accrue balances for projects:</t>
  </si>
  <si>
    <t>EMS Adjustment</t>
  </si>
  <si>
    <t>Cost for HBs to be accrued in full whilst invoices processed</t>
  </si>
  <si>
    <t>Cost for EMRTS (via Swansea Bay) to be accrued in full whilst invoices processed</t>
  </si>
  <si>
    <t>WAST Revised allocation:</t>
  </si>
  <si>
    <t xml:space="preserve">Agreement of Balances </t>
  </si>
  <si>
    <t>Reallocate to centralise Non recurrent adjustments</t>
  </si>
  <si>
    <t xml:space="preserve">Agreement of Balances - Adjustments Required </t>
  </si>
  <si>
    <t xml:space="preserve">WAST Original Allocation </t>
  </si>
  <si>
    <t>Received Directly:</t>
  </si>
  <si>
    <t>Figures in £m</t>
  </si>
  <si>
    <t>Commissioner has income:</t>
  </si>
  <si>
    <t xml:space="preserve">Commissioner needs to pay out: </t>
  </si>
  <si>
    <t>From LHBs</t>
  </si>
  <si>
    <t>WAST</t>
  </si>
  <si>
    <t xml:space="preserve">Shortfall: </t>
  </si>
  <si>
    <t xml:space="preserve">Transfer funds: </t>
  </si>
  <si>
    <t>Costs for NCCU research and evaluation</t>
  </si>
  <si>
    <t>Income</t>
  </si>
  <si>
    <t>Payments</t>
  </si>
  <si>
    <t>WAST to repay NEPTS funding difference</t>
  </si>
  <si>
    <t>Total Net difference:</t>
  </si>
  <si>
    <t>Adjustment Required:</t>
  </si>
  <si>
    <t>reduction in payment for March 2020</t>
  </si>
  <si>
    <t xml:space="preserve">Reduction in Commissioner payments to be transferred to WAST </t>
  </si>
  <si>
    <t>Less invoice to WAST:</t>
  </si>
  <si>
    <t>2020/21 Cumulative Recurrent</t>
  </si>
  <si>
    <t>Commissioner Income from LHBs</t>
  </si>
  <si>
    <t>WAST NEPTS Income - via LHBs to WAST</t>
  </si>
  <si>
    <t xml:space="preserve">Healthier Wales Income - 2020/21 Cumulative </t>
  </si>
  <si>
    <t>Total Healthier Wales Income</t>
  </si>
  <si>
    <t>Healthier Wales Applications - 2020/21 Cumulative</t>
  </si>
  <si>
    <t xml:space="preserve">Total Healthier Wales Applications: </t>
  </si>
  <si>
    <t>% Split</t>
  </si>
  <si>
    <t>EASC: Commissioner Allocations 2021/22</t>
  </si>
  <si>
    <t>2020/21 Commissioner Allocations Baseline</t>
  </si>
  <si>
    <t>2020/21 WAST Requirement through EASC</t>
  </si>
  <si>
    <t>Initial expected income level 2021/22 - as per Trust financial plan</t>
  </si>
  <si>
    <t>Core EASC funding</t>
  </si>
  <si>
    <t>Current maximum potential value 2020/21</t>
  </si>
  <si>
    <t>Non recurring / fye of baseline adjustments required to the above:</t>
  </si>
  <si>
    <t>1. Remove non recurring values within above:</t>
  </si>
  <si>
    <t>Non Emergency Patient Transport for winter - maximum allocation of £1.006m inc above</t>
  </si>
  <si>
    <t>Mental Health Staff in CCC</t>
  </si>
  <si>
    <t>Remote Worker (CAD)</t>
  </si>
  <si>
    <t>2. Full year effect / 2021/22 of values within the above:-</t>
  </si>
  <si>
    <t>a. D&amp;C 2020/21</t>
  </si>
  <si>
    <t>Deduct applicable values within the above:</t>
  </si>
  <si>
    <t>HB Investment - D&amp;C</t>
  </si>
  <si>
    <t>OK - non recurrent</t>
  </si>
  <si>
    <t>Balance of D&amp;C Funding - maximum allocation of £1.5m</t>
  </si>
  <si>
    <t>Add in Full Year Effect of 20/21 recruitment for 21/22</t>
  </si>
  <si>
    <t>(As per D&amp;C "Gateway review")</t>
  </si>
  <si>
    <t xml:space="preserve">b. Grange Uni Hospital </t>
  </si>
  <si>
    <t>Deduct 2020/21 SLA Figure</t>
  </si>
  <si>
    <t xml:space="preserve">AB only funding? </t>
  </si>
  <si>
    <t>Add in 2021/22 SLA Figure</t>
  </si>
  <si>
    <t xml:space="preserve">c. Neo Natal Extension </t>
  </si>
  <si>
    <t>Deduct value within the above</t>
  </si>
  <si>
    <t>Extension of Neo Natal Transport Provision to 24/7</t>
  </si>
  <si>
    <t xml:space="preserve">d. Operational Delivery Unit </t>
  </si>
  <si>
    <t>2020/21 estimate of spend within the above</t>
  </si>
  <si>
    <t>NR funded from USC Winter Fund</t>
  </si>
  <si>
    <t>2021/22 - as per business case June 2020</t>
  </si>
  <si>
    <t>Where is funding for this coming from?</t>
  </si>
  <si>
    <t>e. MRD Singleton</t>
  </si>
  <si>
    <t>2021/22 full year estimate</t>
  </si>
  <si>
    <t>f. Respiratory Pilot</t>
  </si>
  <si>
    <t>Revised recurring baseline as at outset of 2021/22</t>
  </si>
  <si>
    <t>3. 2% national growth value applied to the above</t>
  </si>
  <si>
    <t>ok</t>
  </si>
  <si>
    <t>4. Technical / WG funding adjustments - initial 2021/22:-</t>
  </si>
  <si>
    <t xml:space="preserve">a. Airwave Extension </t>
  </si>
  <si>
    <t>2020/21 value within the above</t>
  </si>
  <si>
    <t>2021/22 Business Case Figure</t>
  </si>
  <si>
    <t>b. ESMCP (CRS)</t>
  </si>
  <si>
    <t>2021/22 current estimated value</t>
  </si>
  <si>
    <t>c. ESMCP (Proj Team Resources)</t>
  </si>
  <si>
    <t>d. Major Trauma Business Case</t>
  </si>
  <si>
    <t>21/22 Business Case Figure</t>
  </si>
  <si>
    <t xml:space="preserve">5. 2021/22 developments with current estimate of 2021/22 values </t>
  </si>
  <si>
    <t>(many to be further firmed up and / or agreed)</t>
  </si>
  <si>
    <t>Paramedic Band 6 Funding - as per HB Allocation Letter</t>
  </si>
  <si>
    <t>Phase 2 D&amp;C - estimate</t>
  </si>
  <si>
    <t>HB funded?</t>
  </si>
  <si>
    <t xml:space="preserve">Phasing not accounted for. </t>
  </si>
  <si>
    <t>(Full year cost estimate at this stage - updated costs and 21/22 part year TBD)</t>
  </si>
  <si>
    <t>110 wte further additionality</t>
  </si>
  <si>
    <t>Contact / Phone First - estimated revenue costs</t>
  </si>
  <si>
    <t>(Again currently phased on full year costs, inc non rec implementation costs)</t>
  </si>
  <si>
    <t>Corporate Infrastructure Costs - proposed 2021/22 phasing</t>
  </si>
  <si>
    <t>Resources to support further developments and enhancements of Hear &amp; Treat</t>
  </si>
  <si>
    <t>TBD</t>
  </si>
  <si>
    <t>Resources to support further developments and enhancements of See &amp; Treat</t>
  </si>
  <si>
    <t>Including potential further developments in APPs and prescribing paramedics</t>
  </si>
  <si>
    <t>Impacts of the older persons framework, including L2 falls</t>
  </si>
  <si>
    <t>Current total EMS EASC income per draft 2021/22 Trust financial plan</t>
  </si>
  <si>
    <t>Grange University Hospital</t>
  </si>
  <si>
    <t xml:space="preserve">EASC (WAST Income Schedule) - 2020/21 </t>
  </si>
  <si>
    <t>NOTES etc</t>
  </si>
  <si>
    <t>Suggested Actions / Discussions</t>
  </si>
  <si>
    <t>EASC £m</t>
  </si>
  <si>
    <t xml:space="preserve">Opening </t>
  </si>
  <si>
    <t>2% Growth</t>
  </si>
  <si>
    <t>B6 Para Funding as per WG allocation letter</t>
  </si>
  <si>
    <t>Airwave Reduction</t>
  </si>
  <si>
    <t>Major Trauma Business Case</t>
  </si>
  <si>
    <t>1. Agree how cash will be released to WAST ?</t>
  </si>
  <si>
    <t>ROUNDING</t>
  </si>
  <si>
    <t>EASC NCCU INCOME / WAST</t>
  </si>
  <si>
    <t>WHSSC report - M9</t>
  </si>
  <si>
    <t>Further Adjustments</t>
  </si>
  <si>
    <t>Total WHSSC</t>
  </si>
  <si>
    <t xml:space="preserve">Airwave Extension </t>
  </si>
  <si>
    <t>£827k for ICT and £167k for finance (interest payable). From WG</t>
  </si>
  <si>
    <t>EASC Contribution to D&amp;C</t>
  </si>
  <si>
    <t>Contribution from Critical care transport monies 2020/21 - slippage</t>
  </si>
  <si>
    <t>Other Agreed Developments</t>
  </si>
  <si>
    <t xml:space="preserve">Grange Uni Hospital </t>
  </si>
  <si>
    <t>as per SLA .. Funding flow from ABHB to EASC to WAST  ?</t>
  </si>
  <si>
    <t xml:space="preserve">As At M7 : </t>
  </si>
  <si>
    <t>Month 8 adjustments</t>
  </si>
  <si>
    <t>ESMCP - CRS - was originally an increase of £0.5m</t>
  </si>
  <si>
    <t xml:space="preserve">baseline c/f £1.1m … business case £1.6m from WG. Original ask was increase of £0.5m. Spend forecast as 29/10 is £0.908m so reduction now required against b/f baseline of £192k.  Spend forecast as 18/11 is now £0.816m so reduction now required against b/f baseline of £284k </t>
  </si>
  <si>
    <t>ESMCP - Proj Team - was originally an increase of £0.256m</t>
  </si>
  <si>
    <t>baseline c/f £0.339m … Original ask was £0.595m from WG and hence increase of £0.256m. Spend forecast as 29/10 is £0.377m so increase now required is £0.038m. Spend forecast as 18/11 is £0.337m so increase now required is £0.002m</t>
  </si>
  <si>
    <t xml:space="preserve">Increase of £108k full year … assumed 23/11 start date. Business Case shared </t>
  </si>
  <si>
    <t xml:space="preserve">As At M8 WHSCC  : MH </t>
  </si>
  <si>
    <t>Future Adjustments</t>
  </si>
  <si>
    <t>removed in 19/20 so needs to be added back. On EASC opening schedule as a further reduction</t>
  </si>
  <si>
    <t>1. Agree process how this will get added to WHSCC allocation for then payment to WAST</t>
  </si>
  <si>
    <t>approval via e-mail via CASC … released based on actuals. Revised forecast is that £734k is required</t>
  </si>
  <si>
    <t>Agree mechanism of how this will be added to WHSCC from EASC to pass to WAST and when ?</t>
  </si>
  <si>
    <t>Operational Delivery Unit - maximum allocation of £0.3m</t>
  </si>
  <si>
    <t xml:space="preserve">approval via e-mail via CASC … released based on actuals. Some slippage in recruitment so may be £275k required </t>
  </si>
  <si>
    <t>Singleton Decontamination Site - maximum allocation of £0.150m</t>
  </si>
  <si>
    <t>approval via e-mail via CASC … released based on actuals. All will be utilised</t>
  </si>
  <si>
    <t xml:space="preserve">WAST LEDGER FIGURE M8 </t>
  </si>
  <si>
    <t>Less not yet on ledger - Neo Natal</t>
  </si>
  <si>
    <t>Other Agreed Developments not in ledger yet</t>
  </si>
  <si>
    <t>Respiratory Pilot</t>
  </si>
  <si>
    <t>approval via e-mail via CASC … released based on actuals. All will be utilised. Full year cost £172k (£97k Cons Para, £47k PM, £15k proj admin and £16k Proj Mngr). 20/21 based on 3/12</t>
  </si>
  <si>
    <t>Non Emergency Patient Transport for winter - maximum allocation of £1.006m</t>
  </si>
  <si>
    <t>approval letter from CASC to HBs</t>
  </si>
  <si>
    <t>Current Forecast Year End Position</t>
  </si>
  <si>
    <t xml:space="preserve">Other elements to work through - possible repayment of unused funding </t>
  </si>
  <si>
    <t>????</t>
  </si>
  <si>
    <t xml:space="preserve">will all the £2.464m be required in 20/21 ? </t>
  </si>
  <si>
    <t>As per SLA cost review will take place quarterly. WAST to undertake forecast in mid Feb 21 after M11 reporting. SLA finance review meeting between EASC/AB/WAST to agree final year end forecast position in late February to agree year end position and any repayment of funding</t>
  </si>
  <si>
    <t>MT Business Case</t>
  </si>
  <si>
    <t xml:space="preserve">will all the balance of the MT funding be required in 20/21 ? </t>
  </si>
  <si>
    <t xml:space="preserve">WAST to undertake forecast in mid Feb 21 after M11 reporting. </t>
  </si>
  <si>
    <t>ARRP NR Allocation</t>
  </si>
  <si>
    <t>ESMCP Control Room Solution 2019/20 NR</t>
  </si>
  <si>
    <t>ESMCP Control Room Solution 2020/21 NR</t>
  </si>
  <si>
    <t>ESMCP Project Team 2019/20 NR</t>
  </si>
  <si>
    <t>ESMCP Project Team 2020/21 NR</t>
  </si>
  <si>
    <t>2020/21 Forecast Outturn</t>
  </si>
  <si>
    <t>2020/21 In Year Commissioning Allocation Adjustments</t>
  </si>
  <si>
    <t>Adjustments for 2020/21 In Year Non Recurrent Funds:</t>
  </si>
  <si>
    <t>Grange University Hospital NR</t>
  </si>
  <si>
    <t>In year allocations</t>
  </si>
  <si>
    <t>EMRTS 24/7 Expansion Plan - NR</t>
  </si>
  <si>
    <t>2021/22 EMRTS Total Funding through EASC</t>
  </si>
  <si>
    <t>Allocation Remaining</t>
  </si>
  <si>
    <t>Expansion plan - In year allocation reserve</t>
  </si>
  <si>
    <t>2021/22 Revised Baseline</t>
  </si>
  <si>
    <t>ESMCP Control Room Solution 2021/22 NR</t>
  </si>
  <si>
    <t>ESMCP Project Team 2021/22 NR</t>
  </si>
  <si>
    <t>ARRP NR Allocation 2021/22</t>
  </si>
  <si>
    <t>WG Uplifts and Expected Allocations 2021/22</t>
  </si>
  <si>
    <t>EMS Commissioner Allocation 2021/22</t>
  </si>
  <si>
    <t>Critical Care % Split</t>
  </si>
  <si>
    <t>Major Trauma % Split</t>
  </si>
  <si>
    <t>See allocation % split per "Comm Allocations 2021_22" Tab</t>
  </si>
  <si>
    <t>EASC: WAST EMS Provision 2021/22 Quality &amp; Delivery Framework Agreement</t>
  </si>
  <si>
    <t>Wales</t>
  </si>
  <si>
    <t>CVUHB</t>
  </si>
  <si>
    <t>PTHB</t>
  </si>
  <si>
    <t>SBUHB</t>
  </si>
  <si>
    <t>New Investment from Health Boards to NCCU via WHSSC Process</t>
  </si>
  <si>
    <t>Recurrent Cost Per Annum (£m)</t>
  </si>
  <si>
    <t>Health Board Invest to Save Repayment Schedule - Population basis* for I2S repayment</t>
  </si>
  <si>
    <t>*Source: Needs Resource Allocation Formula issued by Welsh Govt Dec 2019 - Final Scaled Population Share</t>
  </si>
  <si>
    <t>Health Board Invest to Save Repayment Schedule - Direct from Health Board to Welsh Government</t>
  </si>
  <si>
    <t>Year 2021/22 (£m)</t>
  </si>
  <si>
    <t>Year 2022/23 (£m)</t>
  </si>
  <si>
    <t>Year 2023/24 (£m)</t>
  </si>
  <si>
    <t>% split based on population usage of service</t>
  </si>
  <si>
    <t>* Split per correspondence between C&amp;V Clinical Board Director – Specialist Services and Chief Ambulance Services Commissioner, 20th November 2020</t>
  </si>
  <si>
    <t>South-East Wales Regional Acute Coronary Syndrome Treat and Repatriate Service*</t>
  </si>
  <si>
    <t>NB: Payments for this service to be made to Cardiff and Vale UHB</t>
  </si>
  <si>
    <t>Based on WHSSC risk share</t>
  </si>
  <si>
    <t>I2S Repayment and QAIS Care Homes Funding agreement</t>
  </si>
  <si>
    <t>2020/21 Ring-Fenced Commissioner Allocations Baseline</t>
  </si>
  <si>
    <t>Major Trauma Ring Fenced Commissioner Allocation 2021/22</t>
  </si>
  <si>
    <t>EMRTS Critical Care Ring Fenced Commissioner Allocation</t>
  </si>
  <si>
    <t>2021/22 WAST Funding Allocation from EASC</t>
  </si>
  <si>
    <t>2021/22 Requirement from LHBs to EASC</t>
  </si>
  <si>
    <t>As per 2021/22 Health Board Allocation Tables A2 and B1</t>
  </si>
  <si>
    <t>Service Development Initiatives 2021/22</t>
  </si>
  <si>
    <t>2019/20 EMRTS Revised Baseline</t>
  </si>
  <si>
    <t>2020/21 Outturn and 2021/22 EMRTS Baseline</t>
  </si>
  <si>
    <t>As per 2021/22 Health Board Allocation Table A2</t>
  </si>
  <si>
    <t>NEPTS anticipated contract income 21/22  - Commissioning Framework</t>
  </si>
  <si>
    <t>Contract Values 20/21</t>
  </si>
  <si>
    <t>FYE of Transfer of Services / other developments from HBs 20/21</t>
  </si>
  <si>
    <t>Revised Contract Value 2020/21</t>
  </si>
  <si>
    <t xml:space="preserve">Planned Income 21/22 </t>
  </si>
  <si>
    <t>Repatriation of C&amp;V UHB residents &amp; ECRs</t>
  </si>
  <si>
    <t xml:space="preserve">Transfer - St J - Discharge &amp; Transfer Contract </t>
  </si>
  <si>
    <t>Ty Elai</t>
  </si>
  <si>
    <t>Hywel Dda SLA PTHB Call Centre (Transfer of Services)</t>
  </si>
  <si>
    <t xml:space="preserve">1. Impact of Pay Awards for 21-22 currently unknown and assume will be fully funded via flows from HBs (via WG allocations)  </t>
  </si>
  <si>
    <t xml:space="preserve">6. Excludes any estimated 'transfer of services' values to WAST from HBs for 21/22 as these figures will require 'due diligence' prior to transfer  </t>
  </si>
  <si>
    <t xml:space="preserve">7. Excludes explorative work on implications of implementing the NEPTS Demand &amp; Capacity Review </t>
  </si>
  <si>
    <t>NON CONTRACTED ESTIMATED INCOME / OTHER ENGLISH CONTRACT</t>
  </si>
  <si>
    <t>Renal Patient Reimbursement Charges</t>
  </si>
  <si>
    <t>2020/21 NEPTS Requirement from LHBs</t>
  </si>
  <si>
    <t>Healthier Wales 1%</t>
  </si>
  <si>
    <t>Total excl. HW 1%</t>
  </si>
  <si>
    <t>2021/22 NEPTS Baseline</t>
  </si>
  <si>
    <t>Healthier Wales additional recurrent funding</t>
  </si>
  <si>
    <t>2% uplift*</t>
  </si>
  <si>
    <t>*2% uplift not applied to C&amp;V St Johns Discharge and Transfer Contract</t>
  </si>
  <si>
    <t>D&amp;C Phase 2 Front Line In Year Allocation Reserve (Non Recurrent)</t>
  </si>
  <si>
    <t>Critical Care Transport Service Allocation</t>
  </si>
  <si>
    <t>Add back MT Slippage (NR)</t>
  </si>
  <si>
    <t>Major Trauma Business Case (NR)</t>
  </si>
  <si>
    <t>Major Trauma Business Case Allocation Slippage Returned (NR)</t>
  </si>
  <si>
    <t>Major Trauma Commissioner Allocation (NR)</t>
  </si>
  <si>
    <t>ESMCP - Further Reduction</t>
  </si>
  <si>
    <t>Recurrent Impacts from 2020/21 Service Development Initiatives:</t>
  </si>
  <si>
    <t>Demand and Capacity Phase 1 Additional Funding</t>
  </si>
  <si>
    <t>Critical Care (Recurrent)</t>
  </si>
  <si>
    <t>Major Trauma (Recurrent)</t>
  </si>
  <si>
    <t>Major Trauma (NR)</t>
  </si>
  <si>
    <t>Critical Care Transport Service Allocation NR</t>
  </si>
  <si>
    <t>Allocation to EMRTS (Critical Care)</t>
  </si>
  <si>
    <t>Allocation to WAST (Major Trauma)</t>
  </si>
  <si>
    <t>2021/22 NEPTS Requirement from LHBs to EASC</t>
  </si>
  <si>
    <t>2021/22 EMRTS Requirement from LHBs to EASC</t>
  </si>
  <si>
    <t>EASC Total Requirement from LHBs</t>
  </si>
  <si>
    <t>EASC Team Resource</t>
  </si>
  <si>
    <t>NEPTS Allocation</t>
  </si>
  <si>
    <t>EAS Allocation</t>
  </si>
  <si>
    <t>EMRTS Allocation</t>
  </si>
  <si>
    <t>Emergency Ambulance Services Committee
2021/22 Summary</t>
  </si>
  <si>
    <t xml:space="preserve">Ring-Fenced Commissioner Allocations </t>
  </si>
  <si>
    <t>Specialist Commissioning Allocation</t>
  </si>
  <si>
    <t>EASC Commissioning Funds from LHBs</t>
  </si>
  <si>
    <t>EASC Team 2021/22</t>
  </si>
  <si>
    <t>2019/20 EASC Team Baseline</t>
  </si>
  <si>
    <t>2019/20 EASC Team Revised Baseline</t>
  </si>
  <si>
    <t>2021/22 EASC Team Baseline</t>
  </si>
  <si>
    <t>2021/22 EASC Team Requirement from LHBs to EASC</t>
  </si>
  <si>
    <t>EASC: NEPTS Provision 2021/22</t>
  </si>
  <si>
    <t>EASC: EMRTS Provision 2021/22</t>
  </si>
  <si>
    <t xml:space="preserve">EASC Financial Plan 2021/22 </t>
  </si>
  <si>
    <t>Draft for Discussion Purposes only</t>
  </si>
  <si>
    <t>Grange University Hospital NR - return</t>
  </si>
  <si>
    <t>Per WHSSC Income Expectations Mar 2021</t>
  </si>
  <si>
    <t>Neo Natal Transport Expansion (NR)</t>
  </si>
  <si>
    <t>Correction for legacy planning difference to align to WHSSC actual income figures</t>
  </si>
  <si>
    <t>Major Trauma Handback (NR)</t>
  </si>
  <si>
    <t>Major Trauma 2020/21 NR</t>
  </si>
  <si>
    <t>Major Trauma Handback Reversal 2020/21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</si>
</sst>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£&quot;#,##0;[Red]\-&quot;£&quot;#,##0"/>
    <numFmt numFmtId="43" formatCode="_-* #,##0.00_-;\-* #,##0.00_-;_-* &quot;-&quot;??_-;_-@_-"/>
    <numFmt numFmtId="164" formatCode="_-* #,##0.000_-;\-* #,##0.000_-;_-* &quot;-&quot;??_-;_-@_-"/>
    <numFmt numFmtId="165" formatCode="#,##0.000"/>
    <numFmt numFmtId="166" formatCode="0.000"/>
    <numFmt numFmtId="167" formatCode="_-* #,##0.0000_-;\-* #,##0.0000_-;_-* &quot;-&quot;??_-;_-@_-"/>
    <numFmt numFmtId="168" formatCode="#,##0;[Red]\(#,##0\)"/>
    <numFmt numFmtId="169" formatCode="_-* #,##0_-;\-* #,##0_-;_-* &quot;-&quot;??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D7B37E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2508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DA846B"/>
      <name val="Segoe UI"/>
      <family val="2"/>
    </font>
    <font>
      <sz val="10"/>
      <color rgb="FFDA846B"/>
      <name val="Segoe UI"/>
      <family val="2"/>
    </font>
    <font>
      <sz val="10"/>
      <color rgb="FF99B3D4"/>
      <name val="Segoe UI"/>
      <family val="2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b/>
      <u/>
      <sz val="10"/>
      <color theme="0"/>
      <name val="Verdana"/>
      <family val="2"/>
    </font>
    <font>
      <sz val="10"/>
      <color theme="0"/>
      <name val="Verdana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u/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32508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7B37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37" fillId="0" borderId="0" applyNumberFormat="0" applyFill="0" applyBorder="0" applyAlignment="0" applyProtection="0"/>
  </cellStyleXfs>
  <cellXfs count="398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2"/>
    </xf>
    <xf numFmtId="0" fontId="3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vertical="top" wrapText="1"/>
    </xf>
    <xf numFmtId="0" fontId="6" fillId="0" borderId="0" xfId="0" applyFont="1"/>
    <xf numFmtId="10" fontId="0" fillId="0" borderId="0" xfId="2" applyNumberFormat="1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4" fillId="0" borderId="11" xfId="5" applyFont="1" applyFill="1" applyBorder="1" applyAlignment="1">
      <alignment horizontal="center" vertical="center" wrapText="1"/>
    </xf>
    <xf numFmtId="165" fontId="4" fillId="0" borderId="11" xfId="5" applyNumberFormat="1" applyFont="1" applyFill="1" applyBorder="1" applyAlignment="1">
      <alignment horizontal="center" vertical="center" wrapText="1"/>
    </xf>
    <xf numFmtId="10" fontId="5" fillId="4" borderId="12" xfId="2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6" fontId="0" fillId="0" borderId="0" xfId="0" applyNumberFormat="1"/>
    <xf numFmtId="164" fontId="2" fillId="0" borderId="0" xfId="0" applyNumberFormat="1" applyFont="1"/>
    <xf numFmtId="0" fontId="3" fillId="2" borderId="9" xfId="0" applyFont="1" applyFill="1" applyBorder="1" applyAlignment="1">
      <alignment vertical="center" wrapText="1"/>
    </xf>
    <xf numFmtId="164" fontId="3" fillId="2" borderId="9" xfId="1" applyNumberFormat="1" applyFont="1" applyFill="1" applyBorder="1" applyAlignment="1">
      <alignment horizontal="right" vertical="center" wrapText="1"/>
    </xf>
    <xf numFmtId="0" fontId="0" fillId="0" borderId="9" xfId="0" applyFill="1" applyBorder="1" applyAlignment="1">
      <alignment vertical="center" wrapText="1"/>
    </xf>
    <xf numFmtId="164" fontId="0" fillId="0" borderId="9" xfId="1" applyNumberFormat="1" applyFont="1" applyBorder="1" applyAlignment="1">
      <alignment horizontal="right" vertical="center" wrapText="1"/>
    </xf>
    <xf numFmtId="164" fontId="0" fillId="0" borderId="9" xfId="0" applyNumberFormat="1" applyBorder="1"/>
    <xf numFmtId="166" fontId="3" fillId="2" borderId="9" xfId="0" applyNumberFormat="1" applyFont="1" applyFill="1" applyBorder="1" applyAlignment="1">
      <alignment horizontal="right" vertical="center" wrapText="1"/>
    </xf>
    <xf numFmtId="0" fontId="0" fillId="0" borderId="9" xfId="0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2"/>
    </xf>
    <xf numFmtId="164" fontId="0" fillId="0" borderId="9" xfId="1" applyNumberFormat="1" applyFont="1" applyBorder="1"/>
    <xf numFmtId="0" fontId="3" fillId="0" borderId="0" xfId="0" applyFont="1" applyFill="1" applyBorder="1" applyAlignment="1">
      <alignment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vertical="center" wrapText="1"/>
    </xf>
    <xf numFmtId="164" fontId="3" fillId="2" borderId="7" xfId="1" applyNumberFormat="1" applyFont="1" applyFill="1" applyBorder="1" applyAlignment="1">
      <alignment horizontal="right" vertical="center" wrapText="1"/>
    </xf>
    <xf numFmtId="0" fontId="7" fillId="5" borderId="8" xfId="0" applyFont="1" applyFill="1" applyBorder="1" applyAlignment="1">
      <alignment vertical="center" wrapText="1"/>
    </xf>
    <xf numFmtId="0" fontId="8" fillId="5" borderId="13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2" fillId="0" borderId="8" xfId="0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43" fontId="0" fillId="0" borderId="0" xfId="0" applyNumberFormat="1"/>
    <xf numFmtId="167" fontId="0" fillId="0" borderId="0" xfId="0" applyNumberFormat="1"/>
    <xf numFmtId="0" fontId="0" fillId="0" borderId="0" xfId="0" applyFill="1"/>
    <xf numFmtId="0" fontId="12" fillId="6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9" fontId="3" fillId="2" borderId="6" xfId="0" applyNumberFormat="1" applyFont="1" applyFill="1" applyBorder="1" applyAlignment="1">
      <alignment horizontal="center" vertical="center" wrapText="1"/>
    </xf>
    <xf numFmtId="9" fontId="3" fillId="2" borderId="0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vertical="center" wrapText="1"/>
    </xf>
    <xf numFmtId="168" fontId="11" fillId="7" borderId="5" xfId="0" applyNumberFormat="1" applyFont="1" applyFill="1" applyBorder="1" applyAlignment="1">
      <alignment vertical="center" wrapText="1"/>
    </xf>
    <xf numFmtId="3" fontId="0" fillId="0" borderId="16" xfId="0" applyNumberFormat="1" applyBorder="1" applyAlignment="1">
      <alignment horizontal="right" vertical="center" wrapText="1"/>
    </xf>
    <xf numFmtId="3" fontId="12" fillId="6" borderId="9" xfId="0" applyNumberFormat="1" applyFont="1" applyFill="1" applyBorder="1" applyAlignment="1">
      <alignment horizontal="right" vertical="center" wrapText="1"/>
    </xf>
    <xf numFmtId="3" fontId="12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8" fontId="11" fillId="0" borderId="5" xfId="0" applyNumberFormat="1" applyFont="1" applyBorder="1" applyAlignment="1">
      <alignment vertical="center" wrapText="1"/>
    </xf>
    <xf numFmtId="0" fontId="0" fillId="0" borderId="9" xfId="0" applyFill="1" applyBorder="1"/>
    <xf numFmtId="3" fontId="13" fillId="6" borderId="9" xfId="0" applyNumberFormat="1" applyFont="1" applyFill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3" fontId="11" fillId="0" borderId="5" xfId="0" applyNumberFormat="1" applyFont="1" applyBorder="1" applyAlignment="1">
      <alignment horizontal="right" vertical="center" wrapText="1"/>
    </xf>
    <xf numFmtId="1" fontId="11" fillId="0" borderId="16" xfId="0" applyNumberFormat="1" applyFont="1" applyBorder="1" applyAlignment="1">
      <alignment horizontal="right" vertical="center" wrapText="1"/>
    </xf>
    <xf numFmtId="3" fontId="13" fillId="0" borderId="9" xfId="0" applyNumberFormat="1" applyFont="1" applyFill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168" fontId="0" fillId="0" borderId="5" xfId="0" applyNumberFormat="1" applyBorder="1" applyAlignment="1">
      <alignment vertical="center" wrapText="1"/>
    </xf>
    <xf numFmtId="3" fontId="3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168" fontId="3" fillId="2" borderId="5" xfId="0" applyNumberFormat="1" applyFont="1" applyFill="1" applyBorder="1" applyAlignment="1">
      <alignment horizontal="right" vertical="center" wrapText="1"/>
    </xf>
    <xf numFmtId="3" fontId="3" fillId="2" borderId="16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2" fillId="8" borderId="20" xfId="0" applyFont="1" applyFill="1" applyBorder="1"/>
    <xf numFmtId="0" fontId="2" fillId="8" borderId="11" xfId="0" applyFont="1" applyFill="1" applyBorder="1"/>
    <xf numFmtId="0" fontId="2" fillId="0" borderId="24" xfId="0" applyFont="1" applyFill="1" applyBorder="1" applyAlignment="1">
      <alignment horizontal="center"/>
    </xf>
    <xf numFmtId="0" fontId="2" fillId="4" borderId="24" xfId="0" applyFont="1" applyFill="1" applyBorder="1"/>
    <xf numFmtId="0" fontId="2" fillId="0" borderId="24" xfId="0" applyFont="1" applyFill="1" applyBorder="1"/>
    <xf numFmtId="0" fontId="2" fillId="4" borderId="14" xfId="0" applyFont="1" applyFill="1" applyBorder="1" applyAlignment="1">
      <alignment horizontal="center" wrapText="1"/>
    </xf>
    <xf numFmtId="0" fontId="2" fillId="8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wrapText="1"/>
    </xf>
    <xf numFmtId="0" fontId="2" fillId="8" borderId="27" xfId="0" applyFont="1" applyFill="1" applyBorder="1" applyAlignment="1">
      <alignment horizontal="center" wrapText="1"/>
    </xf>
    <xf numFmtId="0" fontId="2" fillId="0" borderId="27" xfId="0" applyFont="1" applyFill="1" applyBorder="1" applyAlignment="1">
      <alignment horizontal="center" wrapText="1"/>
    </xf>
    <xf numFmtId="0" fontId="2" fillId="4" borderId="27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8" borderId="28" xfId="0" applyFont="1" applyFill="1" applyBorder="1"/>
    <xf numFmtId="0" fontId="2" fillId="8" borderId="29" xfId="0" applyFont="1" applyFill="1" applyBorder="1"/>
    <xf numFmtId="0" fontId="2" fillId="8" borderId="28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0" fillId="0" borderId="25" xfId="0" applyBorder="1"/>
    <xf numFmtId="3" fontId="0" fillId="0" borderId="20" xfId="0" applyNumberFormat="1" applyBorder="1" applyAlignment="1"/>
    <xf numFmtId="3" fontId="0" fillId="0" borderId="32" xfId="0" applyNumberFormat="1" applyBorder="1" applyAlignment="1"/>
    <xf numFmtId="3" fontId="0" fillId="9" borderId="24" xfId="0" applyNumberFormat="1" applyFill="1" applyBorder="1" applyAlignment="1"/>
    <xf numFmtId="3" fontId="0" fillId="0" borderId="0" xfId="0" applyNumberFormat="1" applyFill="1" applyBorder="1" applyAlignment="1"/>
    <xf numFmtId="3" fontId="0" fillId="0" borderId="20" xfId="0" applyNumberFormat="1" applyFill="1" applyBorder="1" applyAlignment="1"/>
    <xf numFmtId="3" fontId="0" fillId="0" borderId="11" xfId="0" applyNumberFormat="1" applyFill="1" applyBorder="1" applyAlignment="1"/>
    <xf numFmtId="3" fontId="0" fillId="0" borderId="24" xfId="0" applyNumberFormat="1" applyFill="1" applyBorder="1" applyAlignment="1"/>
    <xf numFmtId="3" fontId="0" fillId="0" borderId="11" xfId="0" applyNumberFormat="1" applyBorder="1"/>
    <xf numFmtId="3" fontId="0" fillId="0" borderId="24" xfId="0" applyNumberFormat="1" applyBorder="1"/>
    <xf numFmtId="3" fontId="0" fillId="0" borderId="0" xfId="0" applyNumberFormat="1"/>
    <xf numFmtId="3" fontId="0" fillId="0" borderId="25" xfId="0" applyNumberFormat="1" applyBorder="1" applyAlignment="1"/>
    <xf numFmtId="3" fontId="0" fillId="0" borderId="0" xfId="0" applyNumberFormat="1" applyBorder="1" applyAlignment="1"/>
    <xf numFmtId="3" fontId="0" fillId="9" borderId="27" xfId="0" applyNumberFormat="1" applyFill="1" applyBorder="1" applyAlignment="1"/>
    <xf numFmtId="3" fontId="0" fillId="0" borderId="25" xfId="0" applyNumberFormat="1" applyFill="1" applyBorder="1" applyAlignment="1"/>
    <xf numFmtId="3" fontId="0" fillId="0" borderId="26" xfId="0" applyNumberFormat="1" applyFill="1" applyBorder="1" applyAlignment="1"/>
    <xf numFmtId="3" fontId="0" fillId="0" borderId="27" xfId="0" applyNumberFormat="1" applyFill="1" applyBorder="1" applyAlignment="1"/>
    <xf numFmtId="3" fontId="0" fillId="0" borderId="26" xfId="0" applyNumberFormat="1" applyBorder="1"/>
    <xf numFmtId="3" fontId="0" fillId="0" borderId="27" xfId="0" applyNumberFormat="1" applyBorder="1"/>
    <xf numFmtId="0" fontId="0" fillId="0" borderId="0" xfId="0" applyBorder="1" applyAlignment="1">
      <alignment wrapText="1"/>
    </xf>
    <xf numFmtId="3" fontId="0" fillId="0" borderId="25" xfId="0" applyNumberFormat="1" applyBorder="1"/>
    <xf numFmtId="0" fontId="0" fillId="0" borderId="0" xfId="0" applyFill="1" applyBorder="1"/>
    <xf numFmtId="3" fontId="0" fillId="0" borderId="28" xfId="0" applyNumberFormat="1" applyBorder="1" applyAlignment="1"/>
    <xf numFmtId="3" fontId="0" fillId="0" borderId="30" xfId="0" applyNumberFormat="1" applyBorder="1" applyAlignment="1"/>
    <xf numFmtId="3" fontId="0" fillId="9" borderId="31" xfId="0" applyNumberFormat="1" applyFill="1" applyBorder="1" applyAlignment="1"/>
    <xf numFmtId="3" fontId="0" fillId="0" borderId="26" xfId="0" applyNumberFormat="1" applyBorder="1" applyAlignment="1"/>
    <xf numFmtId="3" fontId="0" fillId="0" borderId="27" xfId="0" applyNumberFormat="1" applyBorder="1" applyAlignment="1"/>
    <xf numFmtId="0" fontId="0" fillId="0" borderId="26" xfId="0" applyBorder="1"/>
    <xf numFmtId="0" fontId="0" fillId="10" borderId="21" xfId="0" applyFill="1" applyBorder="1"/>
    <xf numFmtId="0" fontId="2" fillId="10" borderId="22" xfId="0" applyFont="1" applyFill="1" applyBorder="1"/>
    <xf numFmtId="3" fontId="2" fillId="10" borderId="21" xfId="0" applyNumberFormat="1" applyFont="1" applyFill="1" applyBorder="1" applyAlignment="1"/>
    <xf numFmtId="3" fontId="2" fillId="10" borderId="22" xfId="0" applyNumberFormat="1" applyFont="1" applyFill="1" applyBorder="1" applyAlignment="1"/>
    <xf numFmtId="3" fontId="2" fillId="10" borderId="23" xfId="0" applyNumberFormat="1" applyFont="1" applyFill="1" applyBorder="1" applyAlignment="1"/>
    <xf numFmtId="3" fontId="2" fillId="0" borderId="23" xfId="0" applyNumberFormat="1" applyFont="1" applyFill="1" applyBorder="1" applyAlignment="1"/>
    <xf numFmtId="3" fontId="2" fillId="4" borderId="21" xfId="0" applyNumberFormat="1" applyFont="1" applyFill="1" applyBorder="1" applyAlignment="1"/>
    <xf numFmtId="3" fontId="2" fillId="4" borderId="14" xfId="0" applyNumberFormat="1" applyFont="1" applyFill="1" applyBorder="1" applyAlignment="1"/>
    <xf numFmtId="3" fontId="2" fillId="4" borderId="23" xfId="0" applyNumberFormat="1" applyFont="1" applyFill="1" applyBorder="1" applyAlignment="1"/>
    <xf numFmtId="3" fontId="2" fillId="0" borderId="22" xfId="0" applyNumberFormat="1" applyFont="1" applyFill="1" applyBorder="1" applyAlignment="1"/>
    <xf numFmtId="0" fontId="2" fillId="0" borderId="0" xfId="0" applyFont="1" applyBorder="1"/>
    <xf numFmtId="3" fontId="2" fillId="0" borderId="0" xfId="0" applyNumberFormat="1" applyFont="1" applyBorder="1" applyAlignment="1"/>
    <xf numFmtId="3" fontId="2" fillId="0" borderId="0" xfId="0" applyNumberFormat="1" applyFont="1" applyFill="1" applyBorder="1" applyAlignment="1"/>
    <xf numFmtId="0" fontId="10" fillId="0" borderId="0" xfId="0" applyFont="1"/>
    <xf numFmtId="0" fontId="6" fillId="0" borderId="20" xfId="0" applyFont="1" applyBorder="1"/>
    <xf numFmtId="0" fontId="0" fillId="0" borderId="32" xfId="0" applyBorder="1"/>
    <xf numFmtId="0" fontId="0" fillId="0" borderId="24" xfId="0" applyBorder="1"/>
    <xf numFmtId="6" fontId="2" fillId="0" borderId="0" xfId="0" quotePrefix="1" applyNumberFormat="1" applyFont="1" applyBorder="1" applyAlignment="1">
      <alignment horizontal="center"/>
    </xf>
    <xf numFmtId="0" fontId="0" fillId="0" borderId="27" xfId="0" applyBorder="1"/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25" xfId="0" applyFont="1" applyBorder="1"/>
    <xf numFmtId="0" fontId="2" fillId="0" borderId="0" xfId="0" applyFont="1" applyBorder="1" applyAlignment="1">
      <alignment horizontal="center"/>
    </xf>
    <xf numFmtId="0" fontId="0" fillId="0" borderId="28" xfId="0" applyBorder="1"/>
    <xf numFmtId="0" fontId="0" fillId="0" borderId="30" xfId="0" applyBorder="1"/>
    <xf numFmtId="0" fontId="0" fillId="0" borderId="31" xfId="0" applyBorder="1"/>
    <xf numFmtId="43" fontId="0" fillId="0" borderId="0" xfId="1" applyFont="1"/>
    <xf numFmtId="3" fontId="0" fillId="11" borderId="5" xfId="0" applyNumberFormat="1" applyFill="1" applyBorder="1" applyAlignment="1">
      <alignment horizontal="right" vertical="center" wrapText="1"/>
    </xf>
    <xf numFmtId="3" fontId="2" fillId="0" borderId="0" xfId="0" applyNumberFormat="1" applyFont="1"/>
    <xf numFmtId="0" fontId="2" fillId="0" borderId="0" xfId="0" applyFont="1" applyFill="1"/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horizontal="right" vertical="center" wrapText="1"/>
    </xf>
    <xf numFmtId="43" fontId="0" fillId="0" borderId="0" xfId="1" applyFont="1" applyFill="1"/>
    <xf numFmtId="43" fontId="0" fillId="0" borderId="0" xfId="0" applyNumberFormat="1" applyFill="1"/>
    <xf numFmtId="3" fontId="12" fillId="11" borderId="9" xfId="0" applyNumberFormat="1" applyFont="1" applyFill="1" applyBorder="1" applyAlignment="1">
      <alignment horizontal="right" vertical="center" wrapText="1"/>
    </xf>
    <xf numFmtId="43" fontId="2" fillId="0" borderId="0" xfId="1" applyFont="1"/>
    <xf numFmtId="3" fontId="0" fillId="12" borderId="5" xfId="0" applyNumberFormat="1" applyFill="1" applyBorder="1" applyAlignment="1">
      <alignment horizontal="center" vertical="center" wrapText="1"/>
    </xf>
    <xf numFmtId="168" fontId="9" fillId="12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justify" vertical="center"/>
    </xf>
    <xf numFmtId="0" fontId="0" fillId="0" borderId="0" xfId="0" applyFont="1"/>
    <xf numFmtId="0" fontId="0" fillId="0" borderId="9" xfId="0" applyFont="1" applyFill="1" applyBorder="1" applyAlignment="1">
      <alignment vertical="center" wrapText="1"/>
    </xf>
    <xf numFmtId="164" fontId="0" fillId="0" borderId="9" xfId="0" applyNumberFormat="1" applyFont="1" applyBorder="1"/>
    <xf numFmtId="10" fontId="16" fillId="0" borderId="14" xfId="2" applyNumberFormat="1" applyFont="1" applyBorder="1" applyAlignment="1">
      <alignment horizontal="center" vertical="center" wrapText="1"/>
    </xf>
    <xf numFmtId="10" fontId="17" fillId="4" borderId="15" xfId="2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top" wrapText="1"/>
    </xf>
    <xf numFmtId="166" fontId="0" fillId="3" borderId="0" xfId="1" applyNumberFormat="1" applyFont="1" applyFill="1" applyBorder="1" applyAlignment="1">
      <alignment horizontal="right" vertical="center" wrapText="1"/>
    </xf>
    <xf numFmtId="166" fontId="0" fillId="0" borderId="0" xfId="1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>
      <alignment horizontal="right"/>
    </xf>
    <xf numFmtId="0" fontId="2" fillId="0" borderId="0" xfId="0" applyFont="1" applyFill="1" applyBorder="1" applyAlignment="1">
      <alignment horizontal="left" vertical="top" wrapText="1"/>
    </xf>
    <xf numFmtId="165" fontId="8" fillId="0" borderId="11" xfId="5" applyNumberFormat="1" applyFont="1" applyFill="1" applyBorder="1" applyAlignment="1">
      <alignment horizontal="center" vertical="center" wrapText="1"/>
    </xf>
    <xf numFmtId="0" fontId="8" fillId="0" borderId="11" xfId="5" applyFont="1" applyFill="1" applyBorder="1" applyAlignment="1">
      <alignment horizontal="center" vertical="center" wrapText="1"/>
    </xf>
    <xf numFmtId="10" fontId="9" fillId="4" borderId="12" xfId="2" applyNumberFormat="1" applyFont="1" applyFill="1" applyBorder="1" applyAlignment="1">
      <alignment vertical="center" wrapText="1"/>
    </xf>
    <xf numFmtId="164" fontId="0" fillId="0" borderId="0" xfId="0" applyNumberFormat="1" applyFill="1"/>
    <xf numFmtId="164" fontId="0" fillId="0" borderId="9" xfId="0" applyNumberFormat="1" applyFill="1" applyBorder="1"/>
    <xf numFmtId="0" fontId="2" fillId="0" borderId="9" xfId="0" applyFont="1" applyBorder="1"/>
    <xf numFmtId="0" fontId="6" fillId="0" borderId="9" xfId="0" applyFont="1" applyBorder="1"/>
    <xf numFmtId="164" fontId="6" fillId="0" borderId="9" xfId="0" applyNumberFormat="1" applyFont="1" applyBorder="1"/>
    <xf numFmtId="164" fontId="2" fillId="0" borderId="9" xfId="1" applyNumberFormat="1" applyFont="1" applyBorder="1"/>
    <xf numFmtId="0" fontId="2" fillId="0" borderId="20" xfId="0" applyFont="1" applyBorder="1"/>
    <xf numFmtId="0" fontId="2" fillId="0" borderId="32" xfId="0" applyFont="1" applyBorder="1"/>
    <xf numFmtId="164" fontId="2" fillId="0" borderId="0" xfId="1" applyNumberFormat="1" applyFont="1" applyBorder="1"/>
    <xf numFmtId="0" fontId="10" fillId="0" borderId="25" xfId="0" applyFont="1" applyBorder="1"/>
    <xf numFmtId="164" fontId="10" fillId="0" borderId="0" xfId="1" applyNumberFormat="1" applyFont="1" applyBorder="1"/>
    <xf numFmtId="164" fontId="0" fillId="0" borderId="0" xfId="1" applyNumberFormat="1" applyFont="1" applyBorder="1"/>
    <xf numFmtId="164" fontId="0" fillId="0" borderId="0" xfId="0" applyNumberFormat="1" applyBorder="1"/>
    <xf numFmtId="164" fontId="2" fillId="0" borderId="0" xfId="0" applyNumberFormat="1" applyFont="1" applyBorder="1"/>
    <xf numFmtId="164" fontId="0" fillId="0" borderId="30" xfId="1" applyNumberFormat="1" applyFont="1" applyBorder="1"/>
    <xf numFmtId="0" fontId="6" fillId="0" borderId="25" xfId="0" applyFont="1" applyBorder="1"/>
    <xf numFmtId="0" fontId="10" fillId="0" borderId="25" xfId="0" applyFont="1" applyBorder="1" applyAlignment="1">
      <alignment wrapText="1"/>
    </xf>
    <xf numFmtId="0" fontId="2" fillId="0" borderId="28" xfId="0" applyFont="1" applyBorder="1"/>
    <xf numFmtId="0" fontId="2" fillId="0" borderId="30" xfId="0" applyFont="1" applyBorder="1"/>
    <xf numFmtId="0" fontId="2" fillId="0" borderId="27" xfId="0" applyFont="1" applyBorder="1"/>
    <xf numFmtId="166" fontId="0" fillId="0" borderId="27" xfId="0" applyNumberFormat="1" applyBorder="1" applyAlignment="1">
      <alignment horizontal="right"/>
    </xf>
    <xf numFmtId="0" fontId="0" fillId="0" borderId="25" xfId="0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25" xfId="0" applyFont="1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166" fontId="2" fillId="0" borderId="0" xfId="0" applyNumberFormat="1" applyFont="1" applyBorder="1" applyAlignment="1">
      <alignment horizontal="right"/>
    </xf>
    <xf numFmtId="166" fontId="0" fillId="0" borderId="0" xfId="0" applyNumberFormat="1" applyBorder="1"/>
    <xf numFmtId="166" fontId="2" fillId="0" borderId="0" xfId="0" applyNumberFormat="1" applyFont="1" applyBorder="1"/>
    <xf numFmtId="0" fontId="0" fillId="0" borderId="27" xfId="0" applyBorder="1" applyAlignment="1">
      <alignment horizontal="justify" vertical="center"/>
    </xf>
    <xf numFmtId="0" fontId="0" fillId="0" borderId="31" xfId="0" applyBorder="1" applyAlignment="1">
      <alignment horizontal="justify" vertical="center"/>
    </xf>
    <xf numFmtId="0" fontId="6" fillId="0" borderId="0" xfId="0" applyFont="1" applyBorder="1"/>
    <xf numFmtId="43" fontId="0" fillId="0" borderId="0" xfId="0" applyNumberFormat="1" applyBorder="1"/>
    <xf numFmtId="166" fontId="0" fillId="0" borderId="30" xfId="0" applyNumberFormat="1" applyBorder="1"/>
    <xf numFmtId="0" fontId="6" fillId="13" borderId="0" xfId="0" applyFont="1" applyFill="1" applyBorder="1"/>
    <xf numFmtId="0" fontId="0" fillId="13" borderId="0" xfId="0" applyFill="1" applyBorder="1"/>
    <xf numFmtId="164" fontId="6" fillId="13" borderId="0" xfId="0" applyNumberFormat="1" applyFont="1" applyFill="1" applyBorder="1"/>
    <xf numFmtId="0" fontId="6" fillId="13" borderId="27" xfId="0" applyFont="1" applyFill="1" applyBorder="1"/>
    <xf numFmtId="0" fontId="18" fillId="0" borderId="0" xfId="0" applyFont="1" applyBorder="1"/>
    <xf numFmtId="164" fontId="18" fillId="0" borderId="0" xfId="0" applyNumberFormat="1" applyFont="1" applyBorder="1"/>
    <xf numFmtId="0" fontId="2" fillId="0" borderId="0" xfId="0" applyFont="1" applyFill="1" applyBorder="1"/>
    <xf numFmtId="0" fontId="8" fillId="0" borderId="25" xfId="0" applyFont="1" applyFill="1" applyBorder="1" applyAlignment="1">
      <alignment horizontal="left" vertical="top"/>
    </xf>
    <xf numFmtId="166" fontId="2" fillId="0" borderId="0" xfId="0" applyNumberFormat="1" applyFont="1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3" fillId="0" borderId="0" xfId="0" applyNumberFormat="1" applyFont="1"/>
    <xf numFmtId="0" fontId="11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wrapText="1"/>
    </xf>
    <xf numFmtId="43" fontId="2" fillId="0" borderId="0" xfId="0" applyNumberFormat="1" applyFont="1"/>
    <xf numFmtId="165" fontId="0" fillId="0" borderId="0" xfId="0" applyNumberFormat="1" applyFont="1"/>
    <xf numFmtId="165" fontId="0" fillId="0" borderId="7" xfId="0" applyNumberFormat="1" applyFont="1" applyBorder="1"/>
    <xf numFmtId="165" fontId="2" fillId="0" borderId="37" xfId="0" applyNumberFormat="1" applyFont="1" applyBorder="1" applyAlignment="1">
      <alignment horizontal="center"/>
    </xf>
    <xf numFmtId="165" fontId="0" fillId="0" borderId="37" xfId="0" applyNumberFormat="1" applyFont="1" applyBorder="1"/>
    <xf numFmtId="0" fontId="0" fillId="0" borderId="7" xfId="0" applyFont="1" applyBorder="1"/>
    <xf numFmtId="0" fontId="2" fillId="0" borderId="37" xfId="0" applyFont="1" applyBorder="1"/>
    <xf numFmtId="165" fontId="2" fillId="0" borderId="37" xfId="0" applyNumberFormat="1" applyFont="1" applyBorder="1"/>
    <xf numFmtId="0" fontId="0" fillId="0" borderId="37" xfId="0" applyFont="1" applyBorder="1"/>
    <xf numFmtId="0" fontId="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horizontal="left" vertical="top" wrapText="1" indent="1"/>
    </xf>
    <xf numFmtId="0" fontId="10" fillId="0" borderId="37" xfId="0" applyFont="1" applyBorder="1" applyAlignment="1">
      <alignment horizontal="left" indent="1"/>
    </xf>
    <xf numFmtId="0" fontId="0" fillId="0" borderId="37" xfId="0" applyFont="1" applyBorder="1" applyAlignment="1">
      <alignment horizontal="left" indent="2"/>
    </xf>
    <xf numFmtId="0" fontId="0" fillId="0" borderId="37" xfId="0" applyFont="1" applyBorder="1" applyAlignment="1">
      <alignment horizontal="left" wrapText="1" indent="2"/>
    </xf>
    <xf numFmtId="0" fontId="10" fillId="0" borderId="37" xfId="0" applyFont="1" applyBorder="1" applyAlignment="1">
      <alignment horizontal="left" wrapText="1" indent="1"/>
    </xf>
    <xf numFmtId="0" fontId="0" fillId="0" borderId="37" xfId="0" applyFont="1" applyBorder="1" applyAlignment="1">
      <alignment wrapText="1"/>
    </xf>
    <xf numFmtId="0" fontId="2" fillId="0" borderId="7" xfId="0" applyFont="1" applyBorder="1" applyAlignment="1">
      <alignment horizontal="center"/>
    </xf>
    <xf numFmtId="165" fontId="2" fillId="0" borderId="7" xfId="0" applyNumberFormat="1" applyFont="1" applyBorder="1"/>
    <xf numFmtId="0" fontId="10" fillId="0" borderId="37" xfId="0" applyFont="1" applyBorder="1" applyAlignment="1">
      <alignment horizontal="left" vertical="top" wrapText="1" indent="1"/>
    </xf>
    <xf numFmtId="0" fontId="9" fillId="0" borderId="37" xfId="0" applyFont="1" applyBorder="1"/>
    <xf numFmtId="0" fontId="10" fillId="0" borderId="37" xfId="0" quotePrefix="1" applyFont="1" applyBorder="1"/>
    <xf numFmtId="0" fontId="0" fillId="0" borderId="37" xfId="0" applyFont="1" applyBorder="1" applyAlignment="1">
      <alignment horizontal="left" indent="1"/>
    </xf>
    <xf numFmtId="0" fontId="10" fillId="0" borderId="37" xfId="0" quotePrefix="1" applyFont="1" applyBorder="1" applyAlignment="1">
      <alignment horizontal="left" wrapText="1" indent="1"/>
    </xf>
    <xf numFmtId="165" fontId="0" fillId="0" borderId="37" xfId="0" applyNumberFormat="1" applyFont="1" applyBorder="1" applyAlignment="1">
      <alignment horizontal="right"/>
    </xf>
    <xf numFmtId="0" fontId="0" fillId="0" borderId="38" xfId="0" applyFont="1" applyBorder="1" applyAlignment="1">
      <alignment horizontal="left" indent="1"/>
    </xf>
    <xf numFmtId="165" fontId="0" fillId="0" borderId="38" xfId="0" applyNumberFormat="1" applyFont="1" applyBorder="1" applyAlignment="1">
      <alignment horizontal="right"/>
    </xf>
    <xf numFmtId="0" fontId="20" fillId="0" borderId="39" xfId="0" applyFont="1" applyBorder="1"/>
    <xf numFmtId="165" fontId="20" fillId="0" borderId="39" xfId="0" applyNumberFormat="1" applyFont="1" applyBorder="1"/>
    <xf numFmtId="0" fontId="4" fillId="0" borderId="21" xfId="0" applyFont="1" applyBorder="1"/>
    <xf numFmtId="165" fontId="21" fillId="0" borderId="3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/>
    <xf numFmtId="0" fontId="5" fillId="0" borderId="25" xfId="0" applyFont="1" applyFill="1" applyBorder="1"/>
    <xf numFmtId="165" fontId="21" fillId="0" borderId="37" xfId="0" applyNumberFormat="1" applyFont="1" applyFill="1" applyBorder="1" applyAlignment="1">
      <alignment horizontal="center"/>
    </xf>
    <xf numFmtId="0" fontId="0" fillId="0" borderId="27" xfId="0" applyFill="1" applyBorder="1"/>
    <xf numFmtId="0" fontId="5" fillId="0" borderId="25" xfId="0" applyFont="1" applyBorder="1"/>
    <xf numFmtId="165" fontId="21" fillId="0" borderId="37" xfId="0" applyNumberFormat="1" applyFont="1" applyBorder="1" applyAlignment="1">
      <alignment horizontal="center"/>
    </xf>
    <xf numFmtId="0" fontId="22" fillId="0" borderId="25" xfId="0" applyFont="1" applyFill="1" applyBorder="1"/>
    <xf numFmtId="0" fontId="0" fillId="0" borderId="26" xfId="0" applyBorder="1" applyAlignment="1">
      <alignment wrapText="1"/>
    </xf>
    <xf numFmtId="0" fontId="22" fillId="0" borderId="25" xfId="0" applyFont="1" applyFill="1" applyBorder="1" applyAlignment="1">
      <alignment vertical="top"/>
    </xf>
    <xf numFmtId="0" fontId="0" fillId="0" borderId="27" xfId="0" applyBorder="1" applyAlignment="1">
      <alignment wrapText="1"/>
    </xf>
    <xf numFmtId="165" fontId="21" fillId="0" borderId="40" xfId="0" applyNumberFormat="1" applyFont="1" applyBorder="1" applyAlignment="1">
      <alignment horizontal="center"/>
    </xf>
    <xf numFmtId="0" fontId="22" fillId="0" borderId="25" xfId="0" applyFont="1" applyFill="1" applyBorder="1" applyAlignment="1">
      <alignment vertical="top" wrapText="1"/>
    </xf>
    <xf numFmtId="43" fontId="0" fillId="11" borderId="0" xfId="1" applyFont="1" applyFill="1"/>
    <xf numFmtId="0" fontId="23" fillId="0" borderId="25" xfId="0" applyFont="1" applyFill="1" applyBorder="1" applyAlignment="1">
      <alignment vertical="top" wrapText="1"/>
    </xf>
    <xf numFmtId="0" fontId="22" fillId="0" borderId="0" xfId="0" applyFont="1"/>
    <xf numFmtId="0" fontId="22" fillId="0" borderId="25" xfId="0" applyFont="1" applyFill="1" applyBorder="1" applyAlignment="1">
      <alignment wrapText="1"/>
    </xf>
    <xf numFmtId="0" fontId="21" fillId="0" borderId="21" xfId="0" applyFont="1" applyFill="1" applyBorder="1" applyAlignment="1">
      <alignment vertical="top" wrapText="1"/>
    </xf>
    <xf numFmtId="0" fontId="0" fillId="0" borderId="23" xfId="0" applyBorder="1"/>
    <xf numFmtId="0" fontId="21" fillId="0" borderId="25" xfId="0" applyFont="1" applyFill="1" applyBorder="1" applyAlignment="1">
      <alignment vertical="top" wrapText="1"/>
    </xf>
    <xf numFmtId="0" fontId="0" fillId="0" borderId="26" xfId="0" applyBorder="1" applyAlignment="1">
      <alignment horizontal="left" vertical="center" wrapText="1"/>
    </xf>
    <xf numFmtId="165" fontId="21" fillId="11" borderId="14" xfId="0" applyNumberFormat="1" applyFont="1" applyFill="1" applyBorder="1" applyAlignment="1">
      <alignment horizontal="center"/>
    </xf>
    <xf numFmtId="0" fontId="0" fillId="0" borderId="14" xfId="0" applyBorder="1" applyAlignment="1">
      <alignment wrapText="1"/>
    </xf>
    <xf numFmtId="0" fontId="21" fillId="0" borderId="20" xfId="0" applyFont="1" applyFill="1" applyBorder="1" applyAlignment="1">
      <alignment vertical="top" wrapText="1"/>
    </xf>
    <xf numFmtId="165" fontId="21" fillId="0" borderId="32" xfId="0" applyNumberFormat="1" applyFont="1" applyFill="1" applyBorder="1" applyAlignment="1">
      <alignment horizontal="center"/>
    </xf>
    <xf numFmtId="165" fontId="21" fillId="0" borderId="0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vertical="top" wrapText="1"/>
    </xf>
    <xf numFmtId="165" fontId="21" fillId="0" borderId="30" xfId="0" applyNumberFormat="1" applyFont="1" applyFill="1" applyBorder="1" applyAlignment="1">
      <alignment horizontal="center"/>
    </xf>
    <xf numFmtId="0" fontId="24" fillId="0" borderId="37" xfId="0" applyFont="1" applyFill="1" applyBorder="1" applyAlignment="1">
      <alignment horizontal="center" vertical="center"/>
    </xf>
    <xf numFmtId="0" fontId="21" fillId="12" borderId="21" xfId="0" applyFont="1" applyFill="1" applyBorder="1" applyAlignment="1">
      <alignment vertical="top" wrapText="1"/>
    </xf>
    <xf numFmtId="165" fontId="21" fillId="12" borderId="35" xfId="0" applyNumberFormat="1" applyFont="1" applyFill="1" applyBorder="1" applyAlignment="1">
      <alignment horizontal="center"/>
    </xf>
    <xf numFmtId="0" fontId="0" fillId="12" borderId="23" xfId="0" applyFill="1" applyBorder="1"/>
    <xf numFmtId="0" fontId="4" fillId="0" borderId="28" xfId="0" applyFont="1" applyFill="1" applyBorder="1"/>
    <xf numFmtId="165" fontId="21" fillId="0" borderId="40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11" xfId="0" applyBorder="1"/>
    <xf numFmtId="0" fontId="0" fillId="0" borderId="29" xfId="0" applyBorder="1" applyAlignment="1">
      <alignment wrapText="1"/>
    </xf>
    <xf numFmtId="165" fontId="21" fillId="11" borderId="37" xfId="0" applyNumberFormat="1" applyFont="1" applyFill="1" applyBorder="1" applyAlignment="1">
      <alignment horizontal="center"/>
    </xf>
    <xf numFmtId="165" fontId="21" fillId="13" borderId="37" xfId="0" applyNumberFormat="1" applyFont="1" applyFill="1" applyBorder="1" applyAlignment="1">
      <alignment horizontal="center"/>
    </xf>
    <xf numFmtId="0" fontId="24" fillId="13" borderId="37" xfId="0" applyFont="1" applyFill="1" applyBorder="1" applyAlignment="1">
      <alignment horizontal="center"/>
    </xf>
    <xf numFmtId="165" fontId="21" fillId="14" borderId="37" xfId="0" applyNumberFormat="1" applyFont="1" applyFill="1" applyBorder="1" applyAlignment="1">
      <alignment horizontal="center"/>
    </xf>
    <xf numFmtId="166" fontId="24" fillId="14" borderId="37" xfId="0" applyNumberFormat="1" applyFont="1" applyFill="1" applyBorder="1" applyAlignment="1">
      <alignment horizontal="center"/>
    </xf>
    <xf numFmtId="164" fontId="0" fillId="0" borderId="9" xfId="0" applyNumberFormat="1" applyFont="1" applyFill="1" applyBorder="1"/>
    <xf numFmtId="0" fontId="24" fillId="14" borderId="37" xfId="0" applyFont="1" applyFill="1" applyBorder="1" applyAlignment="1">
      <alignment horizontal="center" vertical="center"/>
    </xf>
    <xf numFmtId="0" fontId="24" fillId="14" borderId="37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 wrapText="1"/>
    </xf>
    <xf numFmtId="165" fontId="0" fillId="14" borderId="37" xfId="0" applyNumberFormat="1" applyFont="1" applyFill="1" applyBorder="1"/>
    <xf numFmtId="166" fontId="3" fillId="2" borderId="0" xfId="0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0" fontId="10" fillId="0" borderId="0" xfId="0" applyNumberFormat="1" applyFont="1"/>
    <xf numFmtId="164" fontId="0" fillId="0" borderId="0" xfId="0" applyNumberFormat="1" applyFont="1" applyBorder="1"/>
    <xf numFmtId="164" fontId="0" fillId="0" borderId="0" xfId="0" applyNumberFormat="1" applyFill="1" applyBorder="1"/>
    <xf numFmtId="0" fontId="9" fillId="0" borderId="0" xfId="0" applyFont="1"/>
    <xf numFmtId="0" fontId="28" fillId="0" borderId="41" xfId="0" applyFont="1" applyBorder="1" applyAlignment="1">
      <alignment vertical="center"/>
    </xf>
    <xf numFmtId="0" fontId="29" fillId="15" borderId="41" xfId="0" applyFont="1" applyFill="1" applyBorder="1" applyAlignment="1">
      <alignment horizontal="center" vertical="center"/>
    </xf>
    <xf numFmtId="0" fontId="29" fillId="15" borderId="41" xfId="0" applyFont="1" applyFill="1" applyBorder="1" applyAlignment="1">
      <alignment horizontal="center" vertical="center" wrapText="1"/>
    </xf>
    <xf numFmtId="0" fontId="30" fillId="16" borderId="12" xfId="0" applyFont="1" applyFill="1" applyBorder="1" applyAlignment="1">
      <alignment vertical="center" wrapText="1"/>
    </xf>
    <xf numFmtId="0" fontId="29" fillId="0" borderId="12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31" fillId="16" borderId="12" xfId="0" applyFont="1" applyFill="1" applyBorder="1" applyAlignment="1">
      <alignment horizontal="left" vertical="center"/>
    </xf>
    <xf numFmtId="10" fontId="32" fillId="0" borderId="12" xfId="0" applyNumberFormat="1" applyFont="1" applyBorder="1" applyAlignment="1">
      <alignment horizontal="right" vertical="center"/>
    </xf>
    <xf numFmtId="10" fontId="33" fillId="0" borderId="12" xfId="0" applyNumberFormat="1" applyFont="1" applyBorder="1" applyAlignment="1">
      <alignment horizontal="right" vertical="center"/>
    </xf>
    <xf numFmtId="0" fontId="31" fillId="16" borderId="42" xfId="0" applyFont="1" applyFill="1" applyBorder="1" applyAlignment="1">
      <alignment horizontal="left" vertical="center"/>
    </xf>
    <xf numFmtId="164" fontId="34" fillId="0" borderId="42" xfId="1" applyNumberFormat="1" applyFont="1" applyBorder="1" applyAlignment="1">
      <alignment horizontal="right" vertical="center"/>
    </xf>
    <xf numFmtId="164" fontId="35" fillId="0" borderId="42" xfId="1" applyNumberFormat="1" applyFont="1" applyBorder="1" applyAlignment="1">
      <alignment horizontal="right" vertical="center"/>
    </xf>
    <xf numFmtId="0" fontId="30" fillId="16" borderId="43" xfId="0" applyFont="1" applyFill="1" applyBorder="1" applyAlignment="1">
      <alignment wrapText="1"/>
    </xf>
    <xf numFmtId="169" fontId="32" fillId="0" borderId="9" xfId="1" applyNumberFormat="1" applyFont="1" applyBorder="1" applyAlignment="1">
      <alignment vertical="top"/>
    </xf>
    <xf numFmtId="169" fontId="33" fillId="0" borderId="9" xfId="1" applyNumberFormat="1" applyFont="1" applyBorder="1" applyAlignment="1">
      <alignment vertical="top"/>
    </xf>
    <xf numFmtId="0" fontId="31" fillId="16" borderId="36" xfId="0" applyFont="1" applyFill="1" applyBorder="1" applyAlignment="1">
      <alignment horizontal="left" vertical="center"/>
    </xf>
    <xf numFmtId="9" fontId="36" fillId="0" borderId="9" xfId="2" applyFont="1" applyBorder="1" applyAlignment="1">
      <alignment vertical="top" wrapText="1"/>
    </xf>
    <xf numFmtId="10" fontId="33" fillId="0" borderId="9" xfId="2" applyNumberFormat="1" applyFont="1" applyBorder="1" applyAlignment="1">
      <alignment vertical="top"/>
    </xf>
    <xf numFmtId="0" fontId="30" fillId="16" borderId="41" xfId="0" applyFont="1" applyFill="1" applyBorder="1" applyAlignment="1">
      <alignment wrapText="1"/>
    </xf>
    <xf numFmtId="0" fontId="32" fillId="0" borderId="41" xfId="0" applyFont="1" applyBorder="1"/>
    <xf numFmtId="0" fontId="33" fillId="0" borderId="41" xfId="0" applyFont="1" applyBorder="1"/>
    <xf numFmtId="0" fontId="31" fillId="16" borderId="12" xfId="0" applyFont="1" applyFill="1" applyBorder="1"/>
    <xf numFmtId="0" fontId="32" fillId="0" borderId="12" xfId="0" applyFont="1" applyBorder="1"/>
    <xf numFmtId="164" fontId="33" fillId="0" borderId="12" xfId="1" applyNumberFormat="1" applyFont="1" applyBorder="1"/>
    <xf numFmtId="0" fontId="32" fillId="0" borderId="42" xfId="0" applyFont="1" applyBorder="1"/>
    <xf numFmtId="164" fontId="33" fillId="0" borderId="42" xfId="1" applyNumberFormat="1" applyFont="1" applyBorder="1"/>
    <xf numFmtId="0" fontId="31" fillId="16" borderId="42" xfId="0" applyFont="1" applyFill="1" applyBorder="1"/>
    <xf numFmtId="9" fontId="10" fillId="0" borderId="0" xfId="2" applyFont="1"/>
    <xf numFmtId="0" fontId="37" fillId="0" borderId="9" xfId="7" applyBorder="1"/>
    <xf numFmtId="164" fontId="3" fillId="2" borderId="9" xfId="0" applyNumberFormat="1" applyFont="1" applyFill="1" applyBorder="1" applyAlignment="1">
      <alignment vertical="center" wrapText="1"/>
    </xf>
    <xf numFmtId="0" fontId="10" fillId="0" borderId="9" xfId="0" applyFont="1" applyFill="1" applyBorder="1"/>
    <xf numFmtId="164" fontId="10" fillId="0" borderId="9" xfId="1" applyNumberFormat="1" applyFont="1" applyBorder="1"/>
    <xf numFmtId="166" fontId="10" fillId="0" borderId="9" xfId="0" applyNumberFormat="1" applyFont="1" applyBorder="1"/>
    <xf numFmtId="164" fontId="10" fillId="0" borderId="9" xfId="0" applyNumberFormat="1" applyFont="1" applyBorder="1"/>
    <xf numFmtId="0" fontId="7" fillId="17" borderId="9" xfId="0" applyFont="1" applyFill="1" applyBorder="1"/>
    <xf numFmtId="164" fontId="7" fillId="17" borderId="9" xfId="0" applyNumberFormat="1" applyFont="1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left" wrapText="1"/>
    </xf>
    <xf numFmtId="3" fontId="0" fillId="0" borderId="31" xfId="0" applyNumberFormat="1" applyBorder="1" applyAlignment="1"/>
    <xf numFmtId="0" fontId="0" fillId="0" borderId="0" xfId="0" applyFont="1" applyBorder="1"/>
    <xf numFmtId="3" fontId="0" fillId="0" borderId="0" xfId="0" applyNumberFormat="1" applyFont="1" applyBorder="1" applyAlignment="1"/>
    <xf numFmtId="0" fontId="9" fillId="0" borderId="9" xfId="0" applyFont="1" applyFill="1" applyBorder="1" applyAlignment="1">
      <alignment vertical="center" wrapText="1"/>
    </xf>
    <xf numFmtId="164" fontId="9" fillId="0" borderId="9" xfId="1" applyNumberFormat="1" applyFont="1" applyBorder="1"/>
    <xf numFmtId="164" fontId="9" fillId="0" borderId="9" xfId="1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3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wrapText="1"/>
    </xf>
    <xf numFmtId="0" fontId="2" fillId="4" borderId="23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164" fontId="9" fillId="0" borderId="9" xfId="0" applyNumberFormat="1" applyFont="1" applyBorder="1"/>
    <xf numFmtId="164" fontId="9" fillId="0" borderId="9" xfId="0" applyNumberFormat="1" applyFont="1" applyFill="1" applyBorder="1"/>
    <xf numFmtId="0" fontId="9" fillId="0" borderId="8" xfId="0" applyFont="1" applyFill="1" applyBorder="1" applyAlignment="1">
      <alignment vertical="center" wrapText="1"/>
    </xf>
    <xf numFmtId="0" fontId="9" fillId="0" borderId="9" xfId="0" applyFont="1" applyBorder="1"/>
  </cellXfs>
  <cellStyles count="8">
    <cellStyle name="0,0_x000d__x000a_NA_x000d__x000a_ 10" xfId="5"/>
    <cellStyle name="0,0_x000d__x000a_NA_x000d__x000a_ 2" xfId="3"/>
    <cellStyle name="Comma" xfId="1" builtinId="3"/>
    <cellStyle name="Comma 2" xfId="4"/>
    <cellStyle name="Hyperlink" xfId="7" builtinId="8"/>
    <cellStyle name="Normal" xfId="0" builtinId="0"/>
    <cellStyle name="Normal 2" xfId="6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93</xdr:row>
      <xdr:rowOff>114300</xdr:rowOff>
    </xdr:from>
    <xdr:to>
      <xdr:col>1</xdr:col>
      <xdr:colOff>5391150</xdr:colOff>
      <xdr:row>111</xdr:row>
      <xdr:rowOff>152400</xdr:rowOff>
    </xdr:to>
    <xdr:pic>
      <xdr:nvPicPr>
        <xdr:cNvPr id="2" name="Picture 4" descr="image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07025"/>
          <a:ext cx="5381625" cy="3467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Mth%201%20to%201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Financial%20Plan%20v1%2021%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AppData\Local\Microsoft\Windows\INetCache\Content.Outlook\YYP95Z7I\Estimated%20Contact%20First%20annual%20costs%20(00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142562\Documents\Estimated%20corporate%20costs%20-%20to%20March%202022%20-%20summary%20-%20plus%20111%20right%20siz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Mth 1 to 1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 22 easc income plan ems"/>
      <sheetName val="HL Plan 21 22"/>
      <sheetName val="contingency budget"/>
      <sheetName val="111 "/>
      <sheetName val="FYE "/>
      <sheetName val="capital "/>
    </sheetNames>
    <sheetDataSet>
      <sheetData sheetId="0">
        <row r="29">
          <cell r="B29">
            <v>0.439</v>
          </cell>
        </row>
        <row r="31">
          <cell r="B31">
            <v>173.43300000000005</v>
          </cell>
        </row>
        <row r="39">
          <cell r="B39">
            <v>-1.006</v>
          </cell>
        </row>
        <row r="40">
          <cell r="B40">
            <v>-5.5E-2</v>
          </cell>
        </row>
        <row r="41">
          <cell r="B41">
            <v>-0.11</v>
          </cell>
        </row>
        <row r="46">
          <cell r="B46">
            <v>-1.8</v>
          </cell>
        </row>
        <row r="47">
          <cell r="B47">
            <v>-0.73399999999999999</v>
          </cell>
        </row>
        <row r="49">
          <cell r="B49">
            <v>4.9770000000000003</v>
          </cell>
        </row>
        <row r="52">
          <cell r="B52">
            <v>-2.464</v>
          </cell>
        </row>
        <row r="53">
          <cell r="B53">
            <v>4.42</v>
          </cell>
        </row>
        <row r="56">
          <cell r="B56">
            <v>-3.7999999999999999E-2</v>
          </cell>
        </row>
        <row r="57">
          <cell r="B57">
            <v>0.108</v>
          </cell>
        </row>
        <row r="60">
          <cell r="B60">
            <v>-0.3</v>
          </cell>
        </row>
        <row r="61">
          <cell r="B61">
            <v>0.96</v>
          </cell>
        </row>
        <row r="64">
          <cell r="B64">
            <v>-0.15</v>
          </cell>
        </row>
        <row r="65">
          <cell r="B65">
            <v>0.45</v>
          </cell>
        </row>
        <row r="68">
          <cell r="B68">
            <v>-1.7999999999999999E-2</v>
          </cell>
        </row>
        <row r="69">
          <cell r="B69">
            <v>0.17199999999999999</v>
          </cell>
        </row>
        <row r="78">
          <cell r="B78">
            <v>-1.0029999999999999</v>
          </cell>
        </row>
        <row r="79">
          <cell r="B79">
            <v>1.026</v>
          </cell>
        </row>
        <row r="82">
          <cell r="B82">
            <v>-0.64600000000000002</v>
          </cell>
        </row>
        <row r="83">
          <cell r="B83">
            <v>1.41</v>
          </cell>
        </row>
        <row r="86">
          <cell r="B86">
            <v>-0.33700000000000002</v>
          </cell>
        </row>
        <row r="87">
          <cell r="B87">
            <v>0.51300000000000001</v>
          </cell>
        </row>
        <row r="90">
          <cell r="B90">
            <v>-0.93500000000000005</v>
          </cell>
        </row>
        <row r="91">
          <cell r="B91">
            <v>0.63500000000000001</v>
          </cell>
        </row>
        <row r="95">
          <cell r="B95">
            <v>1.1739999999999999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ummary - detail"/>
      <sheetName val="PF - extra 50"/>
      <sheetName val="PF - VPH "/>
      <sheetName val="Corp base"/>
      <sheetName val="Ty Ewly"/>
      <sheetName val="Estates return"/>
      <sheetName val="ICT v1 "/>
    </sheetNames>
    <sheetDataSet>
      <sheetData sheetId="0">
        <row r="25">
          <cell r="F25">
            <v>6445.2849116621419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orate"/>
      <sheetName val="Right sizing 111"/>
    </sheetNames>
    <sheetDataSet>
      <sheetData sheetId="0">
        <row r="60">
          <cell r="J60">
            <v>1188.4393058000003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tabSelected="1" zoomScaleNormal="100" workbookViewId="0">
      <selection activeCell="A20" sqref="A20"/>
    </sheetView>
  </sheetViews>
  <sheetFormatPr defaultRowHeight="15" x14ac:dyDescent="0.25"/>
  <cols>
    <col min="1" max="1" width="42.28515625" customWidth="1"/>
    <col min="2" max="10" width="13.85546875" customWidth="1"/>
  </cols>
  <sheetData>
    <row r="1" spans="1:12" x14ac:dyDescent="0.25">
      <c r="A1" s="10" t="s">
        <v>478</v>
      </c>
    </row>
    <row r="2" spans="1:12" x14ac:dyDescent="0.25">
      <c r="A2" s="138" t="s">
        <v>479</v>
      </c>
    </row>
    <row r="3" spans="1:12" ht="15.75" thickBot="1" x14ac:dyDescent="0.3"/>
    <row r="4" spans="1:12" ht="15" customHeight="1" x14ac:dyDescent="0.25">
      <c r="A4" s="363" t="s">
        <v>467</v>
      </c>
      <c r="B4" s="361" t="s">
        <v>0</v>
      </c>
      <c r="C4" s="361" t="s">
        <v>1</v>
      </c>
      <c r="D4" s="361" t="s">
        <v>2</v>
      </c>
      <c r="E4" s="361" t="s">
        <v>3</v>
      </c>
      <c r="F4" s="361" t="s">
        <v>4</v>
      </c>
      <c r="G4" s="361" t="s">
        <v>5</v>
      </c>
      <c r="H4" s="361" t="s">
        <v>29</v>
      </c>
      <c r="I4" s="2" t="s">
        <v>35</v>
      </c>
      <c r="J4" s="2" t="s">
        <v>17</v>
      </c>
    </row>
    <row r="5" spans="1:12" ht="15.75" thickBot="1" x14ac:dyDescent="0.3">
      <c r="A5" s="364"/>
      <c r="B5" s="362"/>
      <c r="C5" s="362"/>
      <c r="D5" s="362"/>
      <c r="E5" s="362"/>
      <c r="F5" s="362"/>
      <c r="G5" s="362"/>
      <c r="H5" s="362"/>
      <c r="I5" s="3" t="s">
        <v>36</v>
      </c>
      <c r="J5" s="3"/>
    </row>
    <row r="6" spans="1:12" x14ac:dyDescent="0.25">
      <c r="A6" s="364"/>
      <c r="B6" s="27" t="s">
        <v>8</v>
      </c>
      <c r="C6" s="27" t="s">
        <v>8</v>
      </c>
      <c r="D6" s="28" t="s">
        <v>8</v>
      </c>
      <c r="E6" s="27" t="s">
        <v>8</v>
      </c>
      <c r="F6" s="28" t="s">
        <v>8</v>
      </c>
      <c r="G6" s="28" t="s">
        <v>8</v>
      </c>
      <c r="H6" s="27" t="s">
        <v>8</v>
      </c>
      <c r="I6" s="28" t="s">
        <v>8</v>
      </c>
      <c r="J6" s="27" t="s">
        <v>8</v>
      </c>
    </row>
    <row r="7" spans="1:12" x14ac:dyDescent="0.25">
      <c r="A7" s="345" t="s">
        <v>465</v>
      </c>
      <c r="B7" s="29">
        <f>'EAS 2021_22'!B60</f>
        <v>34.584057776416955</v>
      </c>
      <c r="C7" s="29">
        <f>'EAS 2021_22'!C60</f>
        <v>45.873876243811274</v>
      </c>
      <c r="D7" s="29">
        <f>'EAS 2021_22'!D60</f>
        <v>21.610484051161059</v>
      </c>
      <c r="E7" s="29">
        <f>'EAS 2021_22'!E60</f>
        <v>23.839029662033195</v>
      </c>
      <c r="F7" s="29">
        <f>'EAS 2021_22'!F60</f>
        <v>24.472849906098197</v>
      </c>
      <c r="G7" s="29">
        <f>'EAS 2021_22'!G60</f>
        <v>13.181434943925682</v>
      </c>
      <c r="H7" s="29">
        <f>'EAS 2021_22'!H60</f>
        <v>18.443288664464472</v>
      </c>
      <c r="I7" s="29">
        <v>0</v>
      </c>
      <c r="J7" s="29">
        <f>SUM(B7:H7)</f>
        <v>182.00502124791083</v>
      </c>
      <c r="L7" s="40"/>
    </row>
    <row r="8" spans="1:12" x14ac:dyDescent="0.25">
      <c r="A8" s="345" t="s">
        <v>464</v>
      </c>
      <c r="B8" s="29">
        <f>'NEPTS 2021_22'!B12</f>
        <v>2.9302305</v>
      </c>
      <c r="C8" s="29">
        <f>'NEPTS 2021_22'!C12</f>
        <v>5.0708047848000009</v>
      </c>
      <c r="D8" s="29">
        <f>'NEPTS 2021_22'!D12</f>
        <v>4.7542730644000013</v>
      </c>
      <c r="E8" s="29">
        <f>'NEPTS 2021_22'!E12</f>
        <v>2.2370793</v>
      </c>
      <c r="F8" s="29">
        <f>'NEPTS 2021_22'!F12</f>
        <v>3.3905876508000006</v>
      </c>
      <c r="G8" s="29">
        <f>'NEPTS 2021_22'!G12</f>
        <v>1.4506556483999999</v>
      </c>
      <c r="H8" s="29">
        <f>'NEPTS 2021_22'!H12</f>
        <v>4.7483492884167138</v>
      </c>
      <c r="I8" s="29">
        <f>'NEPTS 2021_22'!I12</f>
        <v>0.69612653999999996</v>
      </c>
      <c r="J8" s="29">
        <f>SUM(B8:I8)</f>
        <v>25.27810677681672</v>
      </c>
    </row>
    <row r="9" spans="1:12" x14ac:dyDescent="0.25">
      <c r="A9" s="345" t="s">
        <v>466</v>
      </c>
      <c r="B9" s="29">
        <f>'EMRTS 2021_22'!B16</f>
        <v>1.1076573408405657</v>
      </c>
      <c r="C9" s="29">
        <f>'EMRTS 2021_22'!C16</f>
        <v>1.3739288463347217</v>
      </c>
      <c r="D9" s="29">
        <f>'EMRTS 2021_22'!D16</f>
        <v>0.91468302301123994</v>
      </c>
      <c r="E9" s="29">
        <f>'EMRTS 2021_22'!E16</f>
        <v>0.8410718670855698</v>
      </c>
      <c r="F9" s="29">
        <f>'EMRTS 2021_22'!F16</f>
        <v>0.75247023387557288</v>
      </c>
      <c r="G9" s="29">
        <f>'EMRTS 2021_22'!G16</f>
        <v>0.28448471300089234</v>
      </c>
      <c r="H9" s="29">
        <f>'EMRTS 2021_22'!H16</f>
        <v>0.72558738068174333</v>
      </c>
      <c r="I9" s="29">
        <v>0</v>
      </c>
      <c r="J9" s="29">
        <f>SUM(B9:H9)</f>
        <v>5.9998834048303049</v>
      </c>
    </row>
    <row r="10" spans="1:12" x14ac:dyDescent="0.25">
      <c r="A10" s="345" t="s">
        <v>468</v>
      </c>
      <c r="B10" s="29">
        <f>'RF Comm Alloc''s 2021_22'!B17</f>
        <v>0.58696400000000004</v>
      </c>
      <c r="C10" s="29">
        <f>'RF Comm Alloc''s 2021_22'!C17</f>
        <v>0</v>
      </c>
      <c r="D10" s="29">
        <f>'RF Comm Alloc''s 2021_22'!D17</f>
        <v>0.48074800000000001</v>
      </c>
      <c r="E10" s="29">
        <f>'RF Comm Alloc''s 2021_22'!E17</f>
        <v>0.39876200000000006</v>
      </c>
      <c r="F10" s="29">
        <f>'RF Comm Alloc''s 2021_22'!F17</f>
        <v>0.38887000000000005</v>
      </c>
      <c r="G10" s="29">
        <f>'RF Comm Alloc''s 2021_22'!G17</f>
        <v>5.7919999999999999E-2</v>
      </c>
      <c r="H10" s="29">
        <f>'RF Comm Alloc''s 2021_22'!H17</f>
        <v>0.426736</v>
      </c>
      <c r="I10" s="29">
        <v>0</v>
      </c>
      <c r="J10" s="29">
        <f>SUM(B10:H10)</f>
        <v>2.34</v>
      </c>
    </row>
    <row r="11" spans="1:12" x14ac:dyDescent="0.25">
      <c r="A11" s="345" t="s">
        <v>469</v>
      </c>
      <c r="B11" s="29">
        <f>'Specialised Comm_2021_22'!B9</f>
        <v>5.1163200000000006E-2</v>
      </c>
      <c r="C11" s="29">
        <f>'Specialised Comm_2021_22'!C9</f>
        <v>0</v>
      </c>
      <c r="D11" s="29">
        <f>'Specialised Comm_2021_22'!D9</f>
        <v>2.6356800000000003E-2</v>
      </c>
      <c r="E11" s="29">
        <f>'Specialised Comm_2021_22'!E9</f>
        <v>7.7520000000000006E-2</v>
      </c>
      <c r="F11" s="29">
        <f>'Specialised Comm_2021_22'!F9</f>
        <v>0</v>
      </c>
      <c r="G11" s="29">
        <f>'Specialised Comm_2021_22'!G9</f>
        <v>0</v>
      </c>
      <c r="H11" s="29">
        <f>'Specialised Comm_2021_22'!H9</f>
        <v>0</v>
      </c>
      <c r="I11" s="29">
        <v>0</v>
      </c>
      <c r="J11" s="29">
        <f>SUM(B11:H11)</f>
        <v>0.15504000000000001</v>
      </c>
    </row>
    <row r="12" spans="1:12" x14ac:dyDescent="0.25">
      <c r="A12" s="20" t="s">
        <v>470</v>
      </c>
      <c r="B12" s="21">
        <f>SUM(B7:B11)</f>
        <v>39.260072817257523</v>
      </c>
      <c r="C12" s="21">
        <f t="shared" ref="C12:J12" si="0">SUM(C7:C11)</f>
        <v>52.318609874945999</v>
      </c>
      <c r="D12" s="21">
        <f t="shared" si="0"/>
        <v>27.786544938572298</v>
      </c>
      <c r="E12" s="21">
        <f t="shared" si="0"/>
        <v>27.393462829118768</v>
      </c>
      <c r="F12" s="21">
        <f t="shared" si="0"/>
        <v>29.004777790773772</v>
      </c>
      <c r="G12" s="21">
        <f t="shared" si="0"/>
        <v>14.974495305326574</v>
      </c>
      <c r="H12" s="21">
        <f t="shared" si="0"/>
        <v>24.34396133356293</v>
      </c>
      <c r="I12" s="21">
        <f t="shared" si="0"/>
        <v>0.69612653999999996</v>
      </c>
      <c r="J12" s="21">
        <f t="shared" si="0"/>
        <v>215.77805142955788</v>
      </c>
    </row>
    <row r="13" spans="1:12" x14ac:dyDescent="0.25">
      <c r="A13" s="345" t="s">
        <v>463</v>
      </c>
      <c r="B13" s="29">
        <f>'EASC Team 2021_22'!B15</f>
        <v>0.10311058276703138</v>
      </c>
      <c r="C13" s="29">
        <f>'EASC Team 2021_22'!C15</f>
        <v>0.15919380532220972</v>
      </c>
      <c r="D13" s="29">
        <f>'EASC Team 2021_22'!D15</f>
        <v>7.393395389011119E-2</v>
      </c>
      <c r="E13" s="29">
        <f>'EASC Team 2021_22'!E15</f>
        <v>7.9534586112480002E-2</v>
      </c>
      <c r="F13" s="29">
        <f>'EASC Team 2021_22'!F15</f>
        <v>8.4743934341493535E-2</v>
      </c>
      <c r="G13" s="29">
        <f>'EASC Team 2021_22'!G15</f>
        <v>4.6056222158949493E-2</v>
      </c>
      <c r="H13" s="29">
        <f>'EASC Team 2021_22'!H15</f>
        <v>6.3101300400000004E-2</v>
      </c>
      <c r="I13" s="29">
        <v>0</v>
      </c>
      <c r="J13" s="29">
        <f>SUM(B13:I13)</f>
        <v>0.60967438499227522</v>
      </c>
    </row>
    <row r="14" spans="1:12" x14ac:dyDescent="0.25">
      <c r="A14" s="20" t="s">
        <v>462</v>
      </c>
      <c r="B14" s="21">
        <f>SUM(B12:B13)</f>
        <v>39.363183400024553</v>
      </c>
      <c r="C14" s="21">
        <f t="shared" ref="C14:I14" si="1">SUM(C12:C13)</f>
        <v>52.47780368026821</v>
      </c>
      <c r="D14" s="21">
        <f t="shared" si="1"/>
        <v>27.86047889246241</v>
      </c>
      <c r="E14" s="21">
        <f t="shared" si="1"/>
        <v>27.472997415231248</v>
      </c>
      <c r="F14" s="21">
        <f t="shared" si="1"/>
        <v>29.089521725115265</v>
      </c>
      <c r="G14" s="21">
        <f t="shared" si="1"/>
        <v>15.020551527485523</v>
      </c>
      <c r="H14" s="21">
        <f t="shared" si="1"/>
        <v>24.40706263396293</v>
      </c>
      <c r="I14" s="21">
        <f t="shared" si="1"/>
        <v>0.69612653999999996</v>
      </c>
      <c r="J14" s="21">
        <f>SUM(J12:J13)</f>
        <v>216.38772581455015</v>
      </c>
    </row>
    <row r="15" spans="1:12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9"/>
    </row>
    <row r="16" spans="1:12" x14ac:dyDescent="0.25">
      <c r="J16" s="9"/>
    </row>
    <row r="17" spans="10:10" x14ac:dyDescent="0.25">
      <c r="J17" s="40"/>
    </row>
    <row r="19" spans="10:10" x14ac:dyDescent="0.25">
      <c r="J19" s="9"/>
    </row>
    <row r="20" spans="10:10" x14ac:dyDescent="0.25">
      <c r="J20" s="40"/>
    </row>
  </sheetData>
  <mergeCells count="8">
    <mergeCell ref="E4:E5"/>
    <mergeCell ref="F4:F5"/>
    <mergeCell ref="G4:G5"/>
    <mergeCell ref="A4:A6"/>
    <mergeCell ref="H4:H5"/>
    <mergeCell ref="B4:B5"/>
    <mergeCell ref="C4:C5"/>
    <mergeCell ref="D4:D5"/>
  </mergeCells>
  <hyperlinks>
    <hyperlink ref="A7" location="'EMS 2021_22'!A1" display="EASC: WAST EMS Provision"/>
    <hyperlink ref="A8" location="'NEPTS 2021_22'!A1" display="EASC: NEPTS Provision"/>
    <hyperlink ref="A9" location="'EMRTS 2021_22'!A1" display="EASC: EMRTS Provision"/>
    <hyperlink ref="A10" location="'Comm Allocations 2021_22'!A1" display="EASC: Commissioner Allocations "/>
    <hyperlink ref="A11" location="'EASC Specialised Comm_2021_22'!A1" display="EASC Specialist Commissioning"/>
    <hyperlink ref="A13" location="'NCCU 2021_22'!A1" display="NCCU "/>
  </hyperlink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B2:F92"/>
  <sheetViews>
    <sheetView showGridLines="0" topLeftCell="A46" workbookViewId="0">
      <selection activeCell="B3" sqref="B3"/>
    </sheetView>
  </sheetViews>
  <sheetFormatPr defaultColWidth="9" defaultRowHeight="15" x14ac:dyDescent="0.25"/>
  <cols>
    <col min="1" max="1" width="9" style="165"/>
    <col min="2" max="2" width="81" style="165" customWidth="1"/>
    <col min="3" max="3" width="16.140625" style="233" customWidth="1"/>
    <col min="4" max="16384" width="9" style="165"/>
  </cols>
  <sheetData>
    <row r="2" spans="2:6" x14ac:dyDescent="0.25">
      <c r="B2" s="10" t="s">
        <v>110</v>
      </c>
    </row>
    <row r="3" spans="2:6" x14ac:dyDescent="0.25">
      <c r="B3" s="10"/>
    </row>
    <row r="4" spans="2:6" x14ac:dyDescent="0.25">
      <c r="B4" s="10" t="s">
        <v>257</v>
      </c>
    </row>
    <row r="5" spans="2:6" x14ac:dyDescent="0.25">
      <c r="B5" s="10"/>
    </row>
    <row r="6" spans="2:6" x14ac:dyDescent="0.25">
      <c r="B6" s="10" t="s">
        <v>258</v>
      </c>
    </row>
    <row r="7" spans="2:6" x14ac:dyDescent="0.25">
      <c r="B7" s="10"/>
      <c r="C7" s="234"/>
    </row>
    <row r="8" spans="2:6" x14ac:dyDescent="0.25">
      <c r="C8" s="235" t="s">
        <v>8</v>
      </c>
    </row>
    <row r="9" spans="2:6" x14ac:dyDescent="0.25">
      <c r="C9" s="236"/>
    </row>
    <row r="10" spans="2:6" x14ac:dyDescent="0.25">
      <c r="B10" s="237"/>
      <c r="C10" s="234"/>
    </row>
    <row r="11" spans="2:6" x14ac:dyDescent="0.25">
      <c r="B11" s="238" t="s">
        <v>259</v>
      </c>
      <c r="C11" s="239">
        <f>+'[2]21 22 easc income plan ems'!$B$31-'[2]21 22 easc income plan ems'!$B$29</f>
        <v>172.99400000000006</v>
      </c>
      <c r="F11" s="233"/>
    </row>
    <row r="12" spans="2:6" x14ac:dyDescent="0.25">
      <c r="B12" s="238"/>
      <c r="C12" s="236"/>
    </row>
    <row r="13" spans="2:6" x14ac:dyDescent="0.25">
      <c r="B13" s="238" t="s">
        <v>260</v>
      </c>
      <c r="C13" s="236"/>
    </row>
    <row r="14" spans="2:6" x14ac:dyDescent="0.25">
      <c r="B14" s="240"/>
      <c r="C14" s="236"/>
    </row>
    <row r="15" spans="2:6" x14ac:dyDescent="0.25">
      <c r="B15" s="238" t="s">
        <v>261</v>
      </c>
      <c r="C15" s="236"/>
    </row>
    <row r="16" spans="2:6" ht="30" x14ac:dyDescent="0.25">
      <c r="B16" s="241" t="s">
        <v>262</v>
      </c>
      <c r="C16" s="308">
        <f>+'[2]21 22 easc income plan ems'!B39</f>
        <v>-1.006</v>
      </c>
    </row>
    <row r="17" spans="2:4" x14ac:dyDescent="0.25">
      <c r="B17" s="241" t="s">
        <v>263</v>
      </c>
      <c r="C17" s="308">
        <f>+'[2]21 22 easc income plan ems'!B40</f>
        <v>-5.5E-2</v>
      </c>
    </row>
    <row r="18" spans="2:4" x14ac:dyDescent="0.25">
      <c r="B18" s="242" t="s">
        <v>264</v>
      </c>
      <c r="C18" s="308">
        <f>+'[2]21 22 easc income plan ems'!B41</f>
        <v>-0.11</v>
      </c>
    </row>
    <row r="19" spans="2:4" x14ac:dyDescent="0.25">
      <c r="B19" s="240"/>
      <c r="C19" s="236"/>
    </row>
    <row r="20" spans="2:4" x14ac:dyDescent="0.25">
      <c r="B20" s="238" t="s">
        <v>265</v>
      </c>
      <c r="C20" s="236"/>
    </row>
    <row r="21" spans="2:4" x14ac:dyDescent="0.25">
      <c r="B21" s="243" t="s">
        <v>266</v>
      </c>
      <c r="C21" s="236"/>
    </row>
    <row r="22" spans="2:4" x14ac:dyDescent="0.25">
      <c r="B22" s="243" t="s">
        <v>267</v>
      </c>
      <c r="C22" s="236"/>
    </row>
    <row r="23" spans="2:4" x14ac:dyDescent="0.25">
      <c r="B23" s="244" t="s">
        <v>268</v>
      </c>
      <c r="C23" s="308">
        <f>+'[2]21 22 easc income plan ems'!B46</f>
        <v>-1.8</v>
      </c>
      <c r="D23" s="165" t="s">
        <v>269</v>
      </c>
    </row>
    <row r="24" spans="2:4" x14ac:dyDescent="0.25">
      <c r="B24" s="245" t="s">
        <v>270</v>
      </c>
      <c r="C24" s="308">
        <f>+'[2]21 22 easc income plan ems'!B47</f>
        <v>-0.73399999999999999</v>
      </c>
      <c r="D24" s="165" t="s">
        <v>269</v>
      </c>
    </row>
    <row r="25" spans="2:4" x14ac:dyDescent="0.25">
      <c r="B25" s="240"/>
      <c r="C25" s="236"/>
    </row>
    <row r="26" spans="2:4" x14ac:dyDescent="0.25">
      <c r="B26" s="244" t="s">
        <v>271</v>
      </c>
      <c r="C26" s="236">
        <f>+'[2]21 22 easc income plan ems'!$B$49</f>
        <v>4.9770000000000003</v>
      </c>
    </row>
    <row r="27" spans="2:4" x14ac:dyDescent="0.25">
      <c r="B27" s="244" t="s">
        <v>272</v>
      </c>
      <c r="C27" s="236"/>
    </row>
    <row r="28" spans="2:4" x14ac:dyDescent="0.25">
      <c r="B28" s="240"/>
      <c r="C28" s="236"/>
    </row>
    <row r="29" spans="2:4" x14ac:dyDescent="0.25">
      <c r="B29" s="246" t="s">
        <v>273</v>
      </c>
      <c r="C29" s="236"/>
    </row>
    <row r="30" spans="2:4" x14ac:dyDescent="0.25">
      <c r="B30" s="244" t="s">
        <v>274</v>
      </c>
      <c r="C30" s="308">
        <f>+'[2]21 22 easc income plan ems'!B52</f>
        <v>-2.464</v>
      </c>
      <c r="D30" s="165" t="s">
        <v>275</v>
      </c>
    </row>
    <row r="31" spans="2:4" x14ac:dyDescent="0.25">
      <c r="B31" s="244" t="s">
        <v>276</v>
      </c>
      <c r="C31" s="236">
        <f>+'[2]21 22 easc income plan ems'!B53</f>
        <v>4.42</v>
      </c>
      <c r="D31" s="165" t="s">
        <v>275</v>
      </c>
    </row>
    <row r="32" spans="2:4" x14ac:dyDescent="0.25">
      <c r="B32" s="240"/>
      <c r="C32" s="236"/>
    </row>
    <row r="33" spans="2:4" x14ac:dyDescent="0.25">
      <c r="B33" s="243" t="s">
        <v>277</v>
      </c>
      <c r="C33" s="236"/>
    </row>
    <row r="34" spans="2:4" x14ac:dyDescent="0.25">
      <c r="B34" s="244" t="s">
        <v>278</v>
      </c>
      <c r="C34" s="236">
        <f>+'[2]21 22 easc income plan ems'!$B$56</f>
        <v>-3.7999999999999999E-2</v>
      </c>
    </row>
    <row r="35" spans="2:4" x14ac:dyDescent="0.25">
      <c r="B35" s="245" t="s">
        <v>279</v>
      </c>
      <c r="C35" s="236">
        <f>+'[2]21 22 easc income plan ems'!$B$57</f>
        <v>0.108</v>
      </c>
    </row>
    <row r="36" spans="2:4" x14ac:dyDescent="0.25">
      <c r="B36" s="240"/>
      <c r="C36" s="236"/>
    </row>
    <row r="37" spans="2:4" x14ac:dyDescent="0.25">
      <c r="B37" s="246" t="s">
        <v>280</v>
      </c>
      <c r="C37" s="236"/>
    </row>
    <row r="38" spans="2:4" x14ac:dyDescent="0.25">
      <c r="B38" s="245" t="s">
        <v>281</v>
      </c>
      <c r="C38" s="236">
        <f>+'[2]21 22 easc income plan ems'!$B$60</f>
        <v>-0.3</v>
      </c>
      <c r="D38" s="165" t="s">
        <v>282</v>
      </c>
    </row>
    <row r="39" spans="2:4" x14ac:dyDescent="0.25">
      <c r="B39" s="245" t="s">
        <v>283</v>
      </c>
      <c r="C39" s="236">
        <f>+'[2]21 22 easc income plan ems'!$B$61</f>
        <v>0.96</v>
      </c>
      <c r="D39" s="165" t="s">
        <v>284</v>
      </c>
    </row>
    <row r="40" spans="2:4" x14ac:dyDescent="0.25">
      <c r="B40" s="247"/>
      <c r="C40" s="236"/>
    </row>
    <row r="41" spans="2:4" x14ac:dyDescent="0.25">
      <c r="B41" s="246" t="s">
        <v>285</v>
      </c>
      <c r="C41" s="236"/>
    </row>
    <row r="42" spans="2:4" x14ac:dyDescent="0.25">
      <c r="B42" s="245" t="s">
        <v>281</v>
      </c>
      <c r="C42" s="236">
        <f>+'[2]21 22 easc income plan ems'!$B$64</f>
        <v>-0.15</v>
      </c>
      <c r="D42" s="165" t="s">
        <v>282</v>
      </c>
    </row>
    <row r="43" spans="2:4" x14ac:dyDescent="0.25">
      <c r="B43" s="245" t="s">
        <v>286</v>
      </c>
      <c r="C43" s="236">
        <f>+'[2]21 22 easc income plan ems'!$B$65</f>
        <v>0.45</v>
      </c>
      <c r="D43" s="165" t="s">
        <v>284</v>
      </c>
    </row>
    <row r="44" spans="2:4" x14ac:dyDescent="0.25">
      <c r="B44" s="247"/>
      <c r="C44" s="236"/>
    </row>
    <row r="45" spans="2:4" x14ac:dyDescent="0.25">
      <c r="B45" s="246" t="s">
        <v>287</v>
      </c>
      <c r="C45" s="236"/>
    </row>
    <row r="46" spans="2:4" x14ac:dyDescent="0.25">
      <c r="B46" s="245" t="s">
        <v>281</v>
      </c>
      <c r="C46" s="236">
        <f>+'[2]21 22 easc income plan ems'!$B$68</f>
        <v>-1.7999999999999999E-2</v>
      </c>
      <c r="D46" s="165" t="s">
        <v>282</v>
      </c>
    </row>
    <row r="47" spans="2:4" x14ac:dyDescent="0.25">
      <c r="B47" s="245" t="s">
        <v>286</v>
      </c>
      <c r="C47" s="236">
        <f>+'[2]21 22 easc income plan ems'!$B$69</f>
        <v>0.17199999999999999</v>
      </c>
      <c r="D47" s="165" t="s">
        <v>284</v>
      </c>
    </row>
    <row r="48" spans="2:4" x14ac:dyDescent="0.25">
      <c r="B48" s="240"/>
      <c r="C48" s="236"/>
    </row>
    <row r="49" spans="2:4" x14ac:dyDescent="0.25">
      <c r="B49" s="248" t="s">
        <v>288</v>
      </c>
      <c r="C49" s="249">
        <f>SUM(C11:C47)</f>
        <v>177.40599999999998</v>
      </c>
    </row>
    <row r="50" spans="2:4" x14ac:dyDescent="0.25">
      <c r="B50" s="240"/>
      <c r="C50" s="236"/>
    </row>
    <row r="51" spans="2:4" x14ac:dyDescent="0.25">
      <c r="B51" s="238" t="s">
        <v>289</v>
      </c>
      <c r="C51" s="239">
        <f>+C49*0.02</f>
        <v>3.5481199999999995</v>
      </c>
      <c r="D51" s="165" t="s">
        <v>290</v>
      </c>
    </row>
    <row r="52" spans="2:4" x14ac:dyDescent="0.25">
      <c r="B52" s="240"/>
      <c r="C52" s="236"/>
    </row>
    <row r="53" spans="2:4" x14ac:dyDescent="0.25">
      <c r="B53" s="238" t="s">
        <v>291</v>
      </c>
      <c r="C53" s="236"/>
    </row>
    <row r="54" spans="2:4" x14ac:dyDescent="0.25">
      <c r="B54" s="250" t="s">
        <v>292</v>
      </c>
      <c r="C54" s="236"/>
    </row>
    <row r="55" spans="2:4" x14ac:dyDescent="0.25">
      <c r="B55" s="244" t="s">
        <v>293</v>
      </c>
      <c r="C55" s="236">
        <f>+'[2]21 22 easc income plan ems'!$B$78</f>
        <v>-1.0029999999999999</v>
      </c>
    </row>
    <row r="56" spans="2:4" x14ac:dyDescent="0.25">
      <c r="B56" s="244" t="s">
        <v>294</v>
      </c>
      <c r="C56" s="236">
        <f>+'[2]21 22 easc income plan ems'!$B$79</f>
        <v>1.026</v>
      </c>
    </row>
    <row r="57" spans="2:4" x14ac:dyDescent="0.25">
      <c r="B57" s="240"/>
      <c r="C57" s="236"/>
    </row>
    <row r="58" spans="2:4" x14ac:dyDescent="0.25">
      <c r="B58" s="243" t="s">
        <v>295</v>
      </c>
      <c r="C58" s="236"/>
    </row>
    <row r="59" spans="2:4" x14ac:dyDescent="0.25">
      <c r="B59" s="244" t="s">
        <v>293</v>
      </c>
      <c r="C59" s="236">
        <f>+'[2]21 22 easc income plan ems'!$B$82</f>
        <v>-0.64600000000000002</v>
      </c>
    </row>
    <row r="60" spans="2:4" x14ac:dyDescent="0.25">
      <c r="B60" s="244" t="s">
        <v>296</v>
      </c>
      <c r="C60" s="236">
        <f>+'[2]21 22 easc income plan ems'!$B$83</f>
        <v>1.41</v>
      </c>
    </row>
    <row r="61" spans="2:4" x14ac:dyDescent="0.25">
      <c r="B61" s="251"/>
      <c r="C61" s="236"/>
    </row>
    <row r="62" spans="2:4" x14ac:dyDescent="0.25">
      <c r="B62" s="243" t="s">
        <v>297</v>
      </c>
      <c r="C62" s="236"/>
    </row>
    <row r="63" spans="2:4" x14ac:dyDescent="0.25">
      <c r="B63" s="244" t="s">
        <v>293</v>
      </c>
      <c r="C63" s="236">
        <f>+'[2]21 22 easc income plan ems'!$B$86</f>
        <v>-0.33700000000000002</v>
      </c>
    </row>
    <row r="64" spans="2:4" x14ac:dyDescent="0.25">
      <c r="B64" s="244" t="s">
        <v>296</v>
      </c>
      <c r="C64" s="236">
        <f>+'[2]21 22 easc income plan ems'!$B$87</f>
        <v>0.51300000000000001</v>
      </c>
    </row>
    <row r="65" spans="2:6" x14ac:dyDescent="0.25">
      <c r="B65" s="240"/>
      <c r="C65" s="236"/>
    </row>
    <row r="66" spans="2:6" x14ac:dyDescent="0.25">
      <c r="B66" s="243" t="s">
        <v>298</v>
      </c>
      <c r="C66" s="236"/>
    </row>
    <row r="67" spans="2:6" x14ac:dyDescent="0.25">
      <c r="B67" s="244" t="s">
        <v>293</v>
      </c>
      <c r="C67" s="236">
        <f>+'[2]21 22 easc income plan ems'!$B$90</f>
        <v>-0.93500000000000005</v>
      </c>
    </row>
    <row r="68" spans="2:6" x14ac:dyDescent="0.25">
      <c r="B68" s="244" t="s">
        <v>299</v>
      </c>
      <c r="C68" s="236">
        <f>+'[2]21 22 easc income plan ems'!$B$91</f>
        <v>0.63500000000000001</v>
      </c>
    </row>
    <row r="69" spans="2:6" x14ac:dyDescent="0.25">
      <c r="B69" s="240"/>
      <c r="C69" s="236"/>
    </row>
    <row r="70" spans="2:6" x14ac:dyDescent="0.25">
      <c r="B70" s="238" t="s">
        <v>300</v>
      </c>
      <c r="C70" s="236"/>
    </row>
    <row r="71" spans="2:6" x14ac:dyDescent="0.25">
      <c r="B71" s="252" t="s">
        <v>301</v>
      </c>
      <c r="C71" s="236"/>
    </row>
    <row r="72" spans="2:6" x14ac:dyDescent="0.25">
      <c r="B72" s="253" t="s">
        <v>302</v>
      </c>
      <c r="C72" s="236">
        <f>+'[2]21 22 easc income plan ems'!$B$95</f>
        <v>1.1739999999999999</v>
      </c>
      <c r="D72" s="165" t="s">
        <v>290</v>
      </c>
    </row>
    <row r="73" spans="2:6" x14ac:dyDescent="0.25">
      <c r="B73" s="253"/>
      <c r="C73" s="236"/>
    </row>
    <row r="74" spans="2:6" x14ac:dyDescent="0.25">
      <c r="B74" s="253" t="s">
        <v>303</v>
      </c>
      <c r="C74" s="236">
        <v>5</v>
      </c>
      <c r="D74" s="165" t="s">
        <v>304</v>
      </c>
      <c r="F74" s="165" t="s">
        <v>305</v>
      </c>
    </row>
    <row r="75" spans="2:6" x14ac:dyDescent="0.25">
      <c r="B75" s="254" t="s">
        <v>306</v>
      </c>
      <c r="C75" s="236"/>
      <c r="F75" s="165" t="s">
        <v>307</v>
      </c>
    </row>
    <row r="76" spans="2:6" x14ac:dyDescent="0.25">
      <c r="B76" s="253"/>
      <c r="C76" s="236"/>
    </row>
    <row r="77" spans="2:6" x14ac:dyDescent="0.25">
      <c r="B77" s="253" t="s">
        <v>308</v>
      </c>
      <c r="C77" s="236">
        <f>[3]Summary!$F$25/1000</f>
        <v>6.4452849116621422</v>
      </c>
      <c r="D77" s="165" t="s">
        <v>304</v>
      </c>
    </row>
    <row r="78" spans="2:6" x14ac:dyDescent="0.25">
      <c r="B78" s="246" t="s">
        <v>309</v>
      </c>
      <c r="C78" s="236"/>
    </row>
    <row r="79" spans="2:6" x14ac:dyDescent="0.25">
      <c r="B79" s="253"/>
      <c r="C79" s="236"/>
    </row>
    <row r="80" spans="2:6" x14ac:dyDescent="0.25">
      <c r="B80" s="253" t="s">
        <v>310</v>
      </c>
      <c r="C80" s="236">
        <f>[4]Corporate!$J$60/1000</f>
        <v>1.1884393058000002</v>
      </c>
      <c r="D80" s="165" t="s">
        <v>304</v>
      </c>
    </row>
    <row r="81" spans="2:3" x14ac:dyDescent="0.25">
      <c r="B81" s="240"/>
      <c r="C81" s="236"/>
    </row>
    <row r="82" spans="2:3" x14ac:dyDescent="0.25">
      <c r="B82" s="253" t="s">
        <v>311</v>
      </c>
      <c r="C82" s="255" t="s">
        <v>312</v>
      </c>
    </row>
    <row r="83" spans="2:3" x14ac:dyDescent="0.25">
      <c r="B83" s="253"/>
      <c r="C83" s="255"/>
    </row>
    <row r="84" spans="2:3" x14ac:dyDescent="0.25">
      <c r="B84" s="253" t="s">
        <v>313</v>
      </c>
      <c r="C84" s="255" t="s">
        <v>312</v>
      </c>
    </row>
    <row r="85" spans="2:3" x14ac:dyDescent="0.25">
      <c r="B85" s="243" t="s">
        <v>314</v>
      </c>
      <c r="C85" s="255"/>
    </row>
    <row r="86" spans="2:3" x14ac:dyDescent="0.25">
      <c r="B86" s="253"/>
      <c r="C86" s="255"/>
    </row>
    <row r="87" spans="2:3" x14ac:dyDescent="0.25">
      <c r="B87" s="256" t="s">
        <v>315</v>
      </c>
      <c r="C87" s="257" t="s">
        <v>312</v>
      </c>
    </row>
    <row r="88" spans="2:3" ht="15.75" thickBot="1" x14ac:dyDescent="0.3"/>
    <row r="89" spans="2:3" ht="20.25" thickTop="1" thickBot="1" x14ac:dyDescent="0.35">
      <c r="B89" s="258" t="s">
        <v>316</v>
      </c>
      <c r="C89" s="259">
        <f>SUM(C49:C87)</f>
        <v>195.42484421746218</v>
      </c>
    </row>
    <row r="90" spans="2:3" ht="15.75" thickTop="1" x14ac:dyDescent="0.25"/>
    <row r="91" spans="2:3" x14ac:dyDescent="0.25">
      <c r="C91" s="233">
        <f>C89-C11</f>
        <v>22.430844217462123</v>
      </c>
    </row>
    <row r="92" spans="2:3" x14ac:dyDescent="0.25">
      <c r="C92" s="8">
        <f>C91/C89</f>
        <v>0.1147799007197971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2:J67"/>
  <sheetViews>
    <sheetView topLeftCell="A55" workbookViewId="0">
      <selection activeCell="B3" sqref="B3"/>
    </sheetView>
  </sheetViews>
  <sheetFormatPr defaultRowHeight="15" x14ac:dyDescent="0.25"/>
  <cols>
    <col min="1" max="1" width="54.85546875" bestFit="1" customWidth="1"/>
    <col min="2" max="2" width="16.85546875" customWidth="1"/>
    <col min="3" max="3" width="60" customWidth="1"/>
    <col min="4" max="4" width="2.5703125" customWidth="1"/>
    <col min="5" max="5" width="30.5703125" customWidth="1"/>
    <col min="9" max="9" width="11.5703125" bestFit="1" customWidth="1"/>
  </cols>
  <sheetData>
    <row r="2" spans="1:10" ht="15.75" thickBot="1" x14ac:dyDescent="0.3"/>
    <row r="3" spans="1:10" ht="15.75" thickBot="1" x14ac:dyDescent="0.3">
      <c r="A3" s="260" t="s">
        <v>318</v>
      </c>
      <c r="B3" s="261"/>
      <c r="C3" s="262" t="s">
        <v>319</v>
      </c>
      <c r="E3" s="263" t="s">
        <v>320</v>
      </c>
    </row>
    <row r="4" spans="1:10" x14ac:dyDescent="0.25">
      <c r="A4" s="264"/>
      <c r="B4" s="265"/>
      <c r="C4" s="266"/>
      <c r="E4" s="124"/>
    </row>
    <row r="5" spans="1:10" x14ac:dyDescent="0.25">
      <c r="A5" s="267"/>
      <c r="B5" s="268" t="s">
        <v>321</v>
      </c>
      <c r="C5" s="143"/>
      <c r="E5" s="124"/>
    </row>
    <row r="6" spans="1:10" x14ac:dyDescent="0.25">
      <c r="A6" s="267" t="s">
        <v>322</v>
      </c>
      <c r="B6" s="268">
        <v>158.27199999999999</v>
      </c>
      <c r="C6" s="143"/>
      <c r="E6" s="124"/>
    </row>
    <row r="7" spans="1:10" x14ac:dyDescent="0.25">
      <c r="A7" s="267"/>
      <c r="B7" s="268"/>
      <c r="C7" s="143"/>
      <c r="E7" s="124"/>
    </row>
    <row r="8" spans="1:10" x14ac:dyDescent="0.25">
      <c r="A8" s="267" t="s">
        <v>323</v>
      </c>
      <c r="B8" s="299">
        <v>3.165</v>
      </c>
      <c r="C8" s="143"/>
      <c r="E8" s="124"/>
    </row>
    <row r="9" spans="1:10" x14ac:dyDescent="0.25">
      <c r="A9" s="267" t="s">
        <v>63</v>
      </c>
      <c r="B9" s="299">
        <v>1.5189999999999999</v>
      </c>
      <c r="C9" s="143"/>
      <c r="E9" s="124"/>
    </row>
    <row r="10" spans="1:10" x14ac:dyDescent="0.25">
      <c r="A10" s="267" t="s">
        <v>324</v>
      </c>
      <c r="B10" s="299">
        <v>1.58</v>
      </c>
      <c r="C10" s="143"/>
      <c r="E10" s="124"/>
    </row>
    <row r="11" spans="1:10" x14ac:dyDescent="0.25">
      <c r="A11" s="267" t="s">
        <v>325</v>
      </c>
      <c r="B11" s="299">
        <v>-9.9000000000000005E-2</v>
      </c>
      <c r="C11" s="143"/>
      <c r="E11" s="124"/>
    </row>
    <row r="12" spans="1:10" x14ac:dyDescent="0.25">
      <c r="A12" s="269" t="s">
        <v>326</v>
      </c>
      <c r="B12" s="299">
        <v>0.93500000000000005</v>
      </c>
      <c r="C12" s="143"/>
      <c r="E12" s="124"/>
    </row>
    <row r="13" spans="1:10" ht="30" x14ac:dyDescent="0.25">
      <c r="A13" s="269" t="s">
        <v>268</v>
      </c>
      <c r="B13" s="299">
        <v>1.8</v>
      </c>
      <c r="C13" s="143"/>
      <c r="E13" s="270" t="s">
        <v>327</v>
      </c>
    </row>
    <row r="14" spans="1:10" x14ac:dyDescent="0.25">
      <c r="A14" s="271" t="s">
        <v>328</v>
      </c>
      <c r="B14" s="299">
        <v>1E-3</v>
      </c>
      <c r="C14" s="272"/>
      <c r="E14" s="124"/>
    </row>
    <row r="15" spans="1:10" ht="15.75" thickBot="1" x14ac:dyDescent="0.3">
      <c r="A15" s="271"/>
      <c r="B15" s="273"/>
      <c r="C15" s="272"/>
      <c r="E15" s="124"/>
    </row>
    <row r="16" spans="1:10" x14ac:dyDescent="0.25">
      <c r="A16" s="274" t="s">
        <v>329</v>
      </c>
      <c r="B16" s="268">
        <f>SUM(B6:B15)</f>
        <v>167.17300000000003</v>
      </c>
      <c r="C16" s="143"/>
      <c r="E16" s="124"/>
      <c r="I16" s="275">
        <v>169525</v>
      </c>
      <c r="J16" t="s">
        <v>330</v>
      </c>
    </row>
    <row r="17" spans="1:10" x14ac:dyDescent="0.25">
      <c r="A17" s="274"/>
      <c r="B17" s="268"/>
      <c r="C17" s="143"/>
      <c r="E17" s="124"/>
      <c r="I17" s="275">
        <v>1167</v>
      </c>
      <c r="J17" t="s">
        <v>330</v>
      </c>
    </row>
    <row r="18" spans="1:10" x14ac:dyDescent="0.25">
      <c r="A18" s="276" t="s">
        <v>331</v>
      </c>
      <c r="B18" s="268"/>
      <c r="C18" s="143"/>
      <c r="E18" s="124"/>
      <c r="I18" s="232">
        <f>SUM(I16:I17)</f>
        <v>170692</v>
      </c>
      <c r="J18" s="10" t="s">
        <v>332</v>
      </c>
    </row>
    <row r="19" spans="1:10" x14ac:dyDescent="0.25">
      <c r="A19" s="274" t="s">
        <v>333</v>
      </c>
      <c r="B19" s="300">
        <v>1.0029999999999999</v>
      </c>
      <c r="C19" s="143" t="s">
        <v>334</v>
      </c>
      <c r="E19" s="124"/>
    </row>
    <row r="20" spans="1:10" x14ac:dyDescent="0.25">
      <c r="A20" s="274"/>
      <c r="B20" s="268"/>
      <c r="C20" s="143"/>
      <c r="E20" s="124"/>
    </row>
    <row r="21" spans="1:10" x14ac:dyDescent="0.25">
      <c r="A21" s="276" t="s">
        <v>335</v>
      </c>
      <c r="B21" s="268"/>
      <c r="C21" s="143"/>
      <c r="E21" s="124"/>
    </row>
    <row r="22" spans="1:10" x14ac:dyDescent="0.25">
      <c r="A22" s="277" t="s">
        <v>336</v>
      </c>
      <c r="B22" s="268">
        <v>0.3</v>
      </c>
      <c r="C22" s="143"/>
      <c r="E22" s="124"/>
    </row>
    <row r="23" spans="1:10" x14ac:dyDescent="0.25">
      <c r="A23" s="274"/>
      <c r="B23" s="268"/>
      <c r="C23" s="143"/>
      <c r="E23" s="124"/>
    </row>
    <row r="24" spans="1:10" x14ac:dyDescent="0.25">
      <c r="A24" s="276" t="s">
        <v>337</v>
      </c>
      <c r="B24" s="268"/>
      <c r="C24" s="143"/>
      <c r="E24" s="124"/>
    </row>
    <row r="25" spans="1:10" x14ac:dyDescent="0.25">
      <c r="A25" s="278" t="s">
        <v>338</v>
      </c>
      <c r="B25" s="301">
        <v>2.464</v>
      </c>
      <c r="C25" s="143" t="s">
        <v>339</v>
      </c>
      <c r="E25" s="270"/>
    </row>
    <row r="26" spans="1:10" x14ac:dyDescent="0.25">
      <c r="A26" s="274"/>
      <c r="B26" s="268"/>
      <c r="C26" s="143"/>
      <c r="E26" s="124"/>
    </row>
    <row r="27" spans="1:10" ht="15.75" thickBot="1" x14ac:dyDescent="0.3">
      <c r="A27" s="274"/>
      <c r="B27" s="268"/>
      <c r="C27" s="143"/>
      <c r="E27" s="124"/>
    </row>
    <row r="28" spans="1:10" ht="15.75" thickBot="1" x14ac:dyDescent="0.3">
      <c r="A28" s="279" t="s">
        <v>340</v>
      </c>
      <c r="B28" s="261">
        <f>SUM(B16:B27)</f>
        <v>170.94000000000003</v>
      </c>
      <c r="C28" s="280"/>
      <c r="E28" s="263" t="s">
        <v>320</v>
      </c>
    </row>
    <row r="29" spans="1:10" x14ac:dyDescent="0.25">
      <c r="A29" s="274"/>
      <c r="B29" s="268"/>
      <c r="C29" s="143"/>
      <c r="E29" s="124"/>
    </row>
    <row r="30" spans="1:10" x14ac:dyDescent="0.25">
      <c r="A30" s="281" t="s">
        <v>341</v>
      </c>
      <c r="B30" s="268"/>
      <c r="C30" s="143"/>
      <c r="E30" s="124"/>
    </row>
    <row r="31" spans="1:10" ht="75" x14ac:dyDescent="0.25">
      <c r="A31" s="267" t="s">
        <v>342</v>
      </c>
      <c r="B31" s="300">
        <v>-0.28399999999999997</v>
      </c>
      <c r="C31" s="272" t="s">
        <v>343</v>
      </c>
      <c r="E31" s="282"/>
    </row>
    <row r="32" spans="1:10" ht="60" x14ac:dyDescent="0.25">
      <c r="A32" s="267" t="s">
        <v>344</v>
      </c>
      <c r="B32" s="300">
        <v>-2E-3</v>
      </c>
      <c r="C32" s="272" t="s">
        <v>345</v>
      </c>
      <c r="E32" s="282"/>
    </row>
    <row r="33" spans="1:5" x14ac:dyDescent="0.25">
      <c r="A33" s="267"/>
      <c r="B33" s="265"/>
      <c r="C33" s="272"/>
      <c r="E33" s="282"/>
    </row>
    <row r="34" spans="1:5" x14ac:dyDescent="0.25">
      <c r="A34" s="267"/>
      <c r="B34" s="265"/>
      <c r="C34" s="272"/>
      <c r="E34" s="282"/>
    </row>
    <row r="35" spans="1:5" x14ac:dyDescent="0.25">
      <c r="A35" s="267"/>
      <c r="B35" s="265"/>
      <c r="C35" s="272"/>
      <c r="E35" s="282"/>
    </row>
    <row r="36" spans="1:5" x14ac:dyDescent="0.25">
      <c r="A36" s="267"/>
      <c r="B36" s="265"/>
      <c r="C36" s="272"/>
      <c r="E36" s="282"/>
    </row>
    <row r="37" spans="1:5" ht="30" x14ac:dyDescent="0.25">
      <c r="A37" s="278" t="s">
        <v>279</v>
      </c>
      <c r="B37" s="301">
        <v>3.7999999999999999E-2</v>
      </c>
      <c r="C37" s="272" t="s">
        <v>346</v>
      </c>
      <c r="E37" s="270"/>
    </row>
    <row r="38" spans="1:5" ht="15.75" thickBot="1" x14ac:dyDescent="0.3">
      <c r="A38" s="267"/>
      <c r="B38" s="265"/>
      <c r="C38" s="272"/>
      <c r="E38" s="282"/>
    </row>
    <row r="39" spans="1:5" ht="15.75" thickBot="1" x14ac:dyDescent="0.3">
      <c r="A39" s="279" t="s">
        <v>347</v>
      </c>
      <c r="B39" s="283">
        <f>SUM(B28:B38)</f>
        <v>170.69200000000004</v>
      </c>
      <c r="C39" s="284"/>
      <c r="E39" s="282"/>
    </row>
    <row r="40" spans="1:5" x14ac:dyDescent="0.25">
      <c r="A40" s="274"/>
      <c r="B40" s="268"/>
      <c r="C40" s="143"/>
      <c r="E40" s="124"/>
    </row>
    <row r="41" spans="1:5" x14ac:dyDescent="0.25">
      <c r="A41" s="276" t="s">
        <v>348</v>
      </c>
      <c r="B41" s="268"/>
      <c r="C41" s="143"/>
      <c r="E41" s="124"/>
    </row>
    <row r="42" spans="1:5" ht="45" x14ac:dyDescent="0.25">
      <c r="A42" s="267" t="s">
        <v>325</v>
      </c>
      <c r="B42" s="302">
        <v>9.9000000000000005E-2</v>
      </c>
      <c r="C42" s="272" t="s">
        <v>349</v>
      </c>
      <c r="E42" s="270" t="s">
        <v>350</v>
      </c>
    </row>
    <row r="43" spans="1:5" ht="60" x14ac:dyDescent="0.25">
      <c r="A43" s="278" t="s">
        <v>270</v>
      </c>
      <c r="B43" s="302">
        <v>1.5</v>
      </c>
      <c r="C43" s="272" t="s">
        <v>351</v>
      </c>
      <c r="E43" s="270" t="s">
        <v>352</v>
      </c>
    </row>
    <row r="44" spans="1:5" ht="60" x14ac:dyDescent="0.25">
      <c r="A44" s="278" t="s">
        <v>353</v>
      </c>
      <c r="B44" s="303">
        <v>0.3</v>
      </c>
      <c r="C44" s="272" t="s">
        <v>354</v>
      </c>
      <c r="E44" s="270" t="s">
        <v>352</v>
      </c>
    </row>
    <row r="45" spans="1:5" ht="60" x14ac:dyDescent="0.25">
      <c r="A45" s="278" t="s">
        <v>355</v>
      </c>
      <c r="B45" s="303">
        <v>0.15</v>
      </c>
      <c r="C45" s="272" t="s">
        <v>356</v>
      </c>
      <c r="E45" s="270" t="s">
        <v>352</v>
      </c>
    </row>
    <row r="46" spans="1:5" x14ac:dyDescent="0.25">
      <c r="A46" s="274"/>
      <c r="B46" s="268"/>
      <c r="C46" s="143"/>
      <c r="E46" s="124"/>
    </row>
    <row r="47" spans="1:5" ht="15.75" thickBot="1" x14ac:dyDescent="0.3">
      <c r="A47" s="274"/>
      <c r="B47" s="268"/>
      <c r="C47" s="143"/>
      <c r="E47" s="124"/>
    </row>
    <row r="48" spans="1:5" x14ac:dyDescent="0.25">
      <c r="A48" s="285" t="s">
        <v>357</v>
      </c>
      <c r="B48" s="286">
        <f>SUM(B39:B47)</f>
        <v>172.74100000000004</v>
      </c>
      <c r="C48" s="141"/>
      <c r="E48" s="124"/>
    </row>
    <row r="49" spans="1:5" x14ac:dyDescent="0.25">
      <c r="A49" s="281" t="s">
        <v>358</v>
      </c>
      <c r="B49" s="287">
        <f>-B37</f>
        <v>-3.7999999999999999E-2</v>
      </c>
      <c r="C49" s="143"/>
      <c r="E49" s="124"/>
    </row>
    <row r="50" spans="1:5" ht="15.75" thickBot="1" x14ac:dyDescent="0.3">
      <c r="A50" s="288" t="s">
        <v>357</v>
      </c>
      <c r="B50" s="289">
        <f>+B48+B49</f>
        <v>172.70300000000003</v>
      </c>
      <c r="C50" s="150"/>
      <c r="E50" s="124"/>
    </row>
    <row r="51" spans="1:5" x14ac:dyDescent="0.25">
      <c r="A51" s="281"/>
      <c r="B51" s="265"/>
      <c r="C51" s="143"/>
      <c r="E51" s="124"/>
    </row>
    <row r="52" spans="1:5" x14ac:dyDescent="0.25">
      <c r="A52" s="281"/>
      <c r="B52" s="265"/>
      <c r="C52" s="143"/>
      <c r="E52" s="124"/>
    </row>
    <row r="53" spans="1:5" x14ac:dyDescent="0.25">
      <c r="A53" s="274"/>
      <c r="B53" s="268"/>
      <c r="C53" s="143"/>
      <c r="E53" s="124"/>
    </row>
    <row r="54" spans="1:5" x14ac:dyDescent="0.25">
      <c r="A54" s="276" t="s">
        <v>359</v>
      </c>
      <c r="B54" s="268"/>
      <c r="C54" s="143"/>
      <c r="E54" s="124"/>
    </row>
    <row r="55" spans="1:5" ht="60" x14ac:dyDescent="0.25">
      <c r="A55" s="278" t="s">
        <v>360</v>
      </c>
      <c r="B55" s="305">
        <v>4.2999999999999997E-2</v>
      </c>
      <c r="C55" s="272" t="s">
        <v>361</v>
      </c>
      <c r="E55" s="270" t="s">
        <v>352</v>
      </c>
    </row>
    <row r="56" spans="1:5" ht="60" x14ac:dyDescent="0.25">
      <c r="A56" s="278" t="s">
        <v>362</v>
      </c>
      <c r="B56" s="306">
        <v>1.006</v>
      </c>
      <c r="C56" s="272" t="s">
        <v>363</v>
      </c>
      <c r="E56" s="270" t="s">
        <v>352</v>
      </c>
    </row>
    <row r="57" spans="1:5" x14ac:dyDescent="0.25">
      <c r="A57" s="274"/>
      <c r="B57" s="290"/>
      <c r="C57" s="272"/>
      <c r="E57" s="124"/>
    </row>
    <row r="58" spans="1:5" x14ac:dyDescent="0.25">
      <c r="A58" s="274"/>
      <c r="B58" s="290"/>
      <c r="C58" s="272"/>
      <c r="E58" s="124"/>
    </row>
    <row r="59" spans="1:5" ht="15.75" thickBot="1" x14ac:dyDescent="0.3">
      <c r="A59" s="274"/>
      <c r="B59" s="268"/>
      <c r="C59" s="143"/>
      <c r="E59" s="124"/>
    </row>
    <row r="60" spans="1:5" ht="15.75" thickBot="1" x14ac:dyDescent="0.3">
      <c r="A60" s="291" t="s">
        <v>364</v>
      </c>
      <c r="B60" s="292">
        <f>+B48+B55+B56</f>
        <v>173.79000000000005</v>
      </c>
      <c r="C60" s="293"/>
      <c r="E60" s="124"/>
    </row>
    <row r="61" spans="1:5" ht="15.75" thickBot="1" x14ac:dyDescent="0.3">
      <c r="A61" s="294"/>
      <c r="B61" s="295"/>
      <c r="C61" s="150"/>
      <c r="E61" s="296"/>
    </row>
    <row r="62" spans="1:5" ht="15.75" thickBot="1" x14ac:dyDescent="0.3"/>
    <row r="63" spans="1:5" ht="15.75" thickBot="1" x14ac:dyDescent="0.3">
      <c r="A63" s="184" t="s">
        <v>365</v>
      </c>
      <c r="B63" s="140"/>
      <c r="C63" s="141"/>
      <c r="E63" s="263" t="s">
        <v>320</v>
      </c>
    </row>
    <row r="64" spans="1:5" x14ac:dyDescent="0.25">
      <c r="A64" s="97"/>
      <c r="B64" s="11"/>
      <c r="C64" s="143"/>
      <c r="E64" s="297"/>
    </row>
    <row r="65" spans="1:5" ht="150" x14ac:dyDescent="0.25">
      <c r="A65" s="278" t="s">
        <v>338</v>
      </c>
      <c r="B65" s="11" t="s">
        <v>366</v>
      </c>
      <c r="C65" s="143" t="s">
        <v>367</v>
      </c>
      <c r="E65" s="270" t="s">
        <v>368</v>
      </c>
    </row>
    <row r="66" spans="1:5" x14ac:dyDescent="0.25">
      <c r="A66" s="278"/>
      <c r="B66" s="11"/>
      <c r="C66" s="143"/>
      <c r="E66" s="270"/>
    </row>
    <row r="67" spans="1:5" ht="30.75" thickBot="1" x14ac:dyDescent="0.3">
      <c r="A67" s="148" t="s">
        <v>369</v>
      </c>
      <c r="B67" s="149" t="s">
        <v>366</v>
      </c>
      <c r="C67" s="150" t="s">
        <v>370</v>
      </c>
      <c r="E67" s="298" t="s">
        <v>371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C3:O68"/>
  <sheetViews>
    <sheetView topLeftCell="A8" zoomScale="80" zoomScaleNormal="80" workbookViewId="0">
      <selection activeCell="B3" sqref="B3"/>
    </sheetView>
  </sheetViews>
  <sheetFormatPr defaultRowHeight="15" x14ac:dyDescent="0.25"/>
  <cols>
    <col min="2" max="2" width="2.28515625" customWidth="1"/>
    <col min="3" max="3" width="66.5703125" customWidth="1"/>
    <col min="4" max="4" width="47.28515625" customWidth="1"/>
    <col min="5" max="5" width="12.85546875" bestFit="1" customWidth="1"/>
    <col min="6" max="6" width="2.140625" customWidth="1"/>
    <col min="7" max="7" width="13.42578125" bestFit="1" customWidth="1"/>
    <col min="8" max="8" width="2.85546875" customWidth="1"/>
    <col min="9" max="9" width="10.85546875" bestFit="1" customWidth="1"/>
    <col min="10" max="10" width="3" customWidth="1"/>
    <col min="11" max="11" width="11" bestFit="1" customWidth="1"/>
    <col min="12" max="12" width="2" customWidth="1"/>
    <col min="13" max="13" width="10.85546875" bestFit="1" customWidth="1"/>
  </cols>
  <sheetData>
    <row r="3" spans="3:15" x14ac:dyDescent="0.25">
      <c r="C3" s="10" t="s">
        <v>110</v>
      </c>
      <c r="J3" s="42"/>
    </row>
    <row r="4" spans="3:15" x14ac:dyDescent="0.25">
      <c r="J4" s="42"/>
    </row>
    <row r="5" spans="3:15" x14ac:dyDescent="0.25">
      <c r="C5" s="10" t="s">
        <v>424</v>
      </c>
      <c r="J5" s="42"/>
    </row>
    <row r="6" spans="3:15" ht="15.75" thickBot="1" x14ac:dyDescent="0.3">
      <c r="J6" s="42"/>
    </row>
    <row r="7" spans="3:15" ht="52.5" customHeight="1" thickBot="1" x14ac:dyDescent="0.3">
      <c r="C7" s="75"/>
      <c r="D7" s="76"/>
      <c r="E7" s="371" t="s">
        <v>425</v>
      </c>
      <c r="F7" s="372"/>
      <c r="G7" s="372"/>
      <c r="H7" s="372"/>
      <c r="I7" s="373"/>
      <c r="J7" s="77"/>
      <c r="K7" s="231" t="s">
        <v>75</v>
      </c>
      <c r="L7" s="10"/>
      <c r="M7" s="80" t="s">
        <v>113</v>
      </c>
    </row>
    <row r="8" spans="3:15" ht="105" x14ac:dyDescent="0.25">
      <c r="C8" s="81" t="s">
        <v>114</v>
      </c>
      <c r="D8" s="82" t="s">
        <v>115</v>
      </c>
      <c r="E8" s="83" t="s">
        <v>79</v>
      </c>
      <c r="F8" s="84"/>
      <c r="G8" s="84" t="s">
        <v>426</v>
      </c>
      <c r="H8" s="84"/>
      <c r="I8" s="85" t="s">
        <v>427</v>
      </c>
      <c r="J8" s="86"/>
      <c r="K8" s="88" t="s">
        <v>120</v>
      </c>
      <c r="L8" s="10"/>
      <c r="M8" s="88" t="s">
        <v>428</v>
      </c>
    </row>
    <row r="9" spans="3:15" ht="15.75" thickBot="1" x14ac:dyDescent="0.3">
      <c r="C9" s="89"/>
      <c r="D9" s="90"/>
      <c r="E9" s="91" t="s">
        <v>90</v>
      </c>
      <c r="F9" s="92"/>
      <c r="G9" s="92" t="s">
        <v>90</v>
      </c>
      <c r="H9" s="92"/>
      <c r="I9" s="93" t="s">
        <v>90</v>
      </c>
      <c r="J9" s="94"/>
      <c r="K9" s="96" t="s">
        <v>90</v>
      </c>
      <c r="L9" s="10"/>
      <c r="M9" s="96" t="s">
        <v>90</v>
      </c>
    </row>
    <row r="10" spans="3:15" x14ac:dyDescent="0.25">
      <c r="C10" s="97" t="s">
        <v>122</v>
      </c>
      <c r="D10" s="11" t="s">
        <v>92</v>
      </c>
      <c r="E10" s="98">
        <v>2983123.0000000005</v>
      </c>
      <c r="F10" s="99"/>
      <c r="G10" s="99"/>
      <c r="H10" s="99"/>
      <c r="I10" s="104">
        <f>+E10+F10+G10+H10</f>
        <v>2983123.0000000005</v>
      </c>
      <c r="J10" s="101"/>
      <c r="K10" s="105">
        <f>+I10*2%</f>
        <v>59662.460000000014</v>
      </c>
      <c r="M10" s="105">
        <f>+I10+K10</f>
        <v>3042785.4600000004</v>
      </c>
      <c r="O10" s="107"/>
    </row>
    <row r="11" spans="3:15" x14ac:dyDescent="0.25">
      <c r="C11" s="97" t="s">
        <v>122</v>
      </c>
      <c r="D11" s="11" t="s">
        <v>94</v>
      </c>
      <c r="E11" s="108">
        <v>100127.47300854242</v>
      </c>
      <c r="F11" s="109"/>
      <c r="G11" s="109"/>
      <c r="H11" s="109"/>
      <c r="I11" s="113">
        <f t="shared" ref="I11:I46" si="0">+E11+F11+G11+H11</f>
        <v>100127.47300854242</v>
      </c>
      <c r="J11" s="101"/>
      <c r="K11" s="114">
        <f>+I11*2%</f>
        <v>2002.5494601708485</v>
      </c>
      <c r="M11" s="114">
        <f>+K11+I11</f>
        <v>102130.02246871327</v>
      </c>
      <c r="O11" s="107"/>
    </row>
    <row r="12" spans="3:15" x14ac:dyDescent="0.25">
      <c r="C12" s="97" t="s">
        <v>122</v>
      </c>
      <c r="D12" s="11" t="s">
        <v>155</v>
      </c>
      <c r="E12" s="108">
        <v>1526993.9274000002</v>
      </c>
      <c r="F12" s="109"/>
      <c r="G12" s="109"/>
      <c r="H12" s="109"/>
      <c r="I12" s="113">
        <f>+E12+F12+G12+H12</f>
        <v>1526993.9274000002</v>
      </c>
      <c r="J12" s="101"/>
      <c r="K12" s="114">
        <f>+I12*2%</f>
        <v>30539.878548000004</v>
      </c>
      <c r="M12" s="114">
        <f>+K12+I12</f>
        <v>1557533.8059480002</v>
      </c>
      <c r="O12" s="107"/>
    </row>
    <row r="13" spans="3:15" x14ac:dyDescent="0.25">
      <c r="C13" s="97" t="s">
        <v>122</v>
      </c>
      <c r="D13" s="118" t="s">
        <v>37</v>
      </c>
      <c r="E13" s="108">
        <v>45000</v>
      </c>
      <c r="F13" s="109"/>
      <c r="G13" s="109"/>
      <c r="H13" s="109"/>
      <c r="I13" s="113">
        <f>+E13+F13+G13+H13</f>
        <v>45000</v>
      </c>
      <c r="J13" s="101"/>
      <c r="K13" s="114">
        <f>+I13*2%</f>
        <v>900</v>
      </c>
      <c r="M13" s="114">
        <f>+K13+I13</f>
        <v>45900</v>
      </c>
      <c r="O13" s="107"/>
    </row>
    <row r="14" spans="3:15" x14ac:dyDescent="0.25">
      <c r="C14" s="97"/>
      <c r="D14" s="11"/>
      <c r="E14" s="108"/>
      <c r="F14" s="109"/>
      <c r="G14" s="109"/>
      <c r="H14" s="109"/>
      <c r="I14" s="113"/>
      <c r="J14" s="101"/>
      <c r="K14" s="114"/>
      <c r="M14" s="114"/>
      <c r="O14" s="107"/>
    </row>
    <row r="15" spans="3:15" x14ac:dyDescent="0.25">
      <c r="C15" s="97" t="s">
        <v>124</v>
      </c>
      <c r="D15" s="11" t="s">
        <v>92</v>
      </c>
      <c r="E15" s="108">
        <v>2274745</v>
      </c>
      <c r="F15" s="109"/>
      <c r="G15" s="109"/>
      <c r="H15" s="109"/>
      <c r="I15" s="113">
        <f t="shared" si="0"/>
        <v>2274745</v>
      </c>
      <c r="J15" s="101"/>
      <c r="K15" s="114">
        <f>+I15*2%</f>
        <v>45494.9</v>
      </c>
      <c r="M15" s="114">
        <f>+K15+I15</f>
        <v>2320239.9</v>
      </c>
      <c r="O15" s="107"/>
    </row>
    <row r="16" spans="3:15" x14ac:dyDescent="0.25">
      <c r="C16" s="97" t="s">
        <v>124</v>
      </c>
      <c r="D16" s="11" t="s">
        <v>96</v>
      </c>
      <c r="E16" s="108">
        <v>560030</v>
      </c>
      <c r="F16" s="109"/>
      <c r="G16" s="109"/>
      <c r="H16" s="109"/>
      <c r="I16" s="113">
        <f t="shared" si="0"/>
        <v>560030</v>
      </c>
      <c r="J16" s="101"/>
      <c r="K16" s="114">
        <f>+I16*2%</f>
        <v>11200.6</v>
      </c>
      <c r="M16" s="114">
        <f>+K16+I16</f>
        <v>571230.6</v>
      </c>
      <c r="O16" s="107"/>
    </row>
    <row r="17" spans="3:15" x14ac:dyDescent="0.25">
      <c r="C17" s="97" t="s">
        <v>124</v>
      </c>
      <c r="D17" s="118" t="s">
        <v>37</v>
      </c>
      <c r="E17" s="108">
        <v>38000</v>
      </c>
      <c r="F17" s="109"/>
      <c r="G17" s="109"/>
      <c r="H17" s="109"/>
      <c r="I17" s="113">
        <f t="shared" si="0"/>
        <v>38000</v>
      </c>
      <c r="J17" s="101"/>
      <c r="K17" s="114">
        <f>+I17*2%</f>
        <v>760</v>
      </c>
      <c r="M17" s="114">
        <f>+K17+I17</f>
        <v>38760</v>
      </c>
      <c r="O17" s="107"/>
    </row>
    <row r="18" spans="3:15" x14ac:dyDescent="0.25">
      <c r="C18" s="97"/>
      <c r="D18" s="11"/>
      <c r="E18" s="108"/>
      <c r="F18" s="109"/>
      <c r="G18" s="109"/>
      <c r="H18" s="109"/>
      <c r="I18" s="113"/>
      <c r="J18" s="101"/>
      <c r="K18" s="114"/>
      <c r="M18" s="114"/>
      <c r="O18" s="107"/>
    </row>
    <row r="19" spans="3:15" x14ac:dyDescent="0.25">
      <c r="C19" s="97" t="s">
        <v>125</v>
      </c>
      <c r="D19" s="11" t="s">
        <v>92</v>
      </c>
      <c r="E19" s="108">
        <v>4715975</v>
      </c>
      <c r="F19" s="109"/>
      <c r="G19" s="109"/>
      <c r="H19" s="109"/>
      <c r="I19" s="113">
        <f t="shared" si="0"/>
        <v>4715975</v>
      </c>
      <c r="J19" s="101"/>
      <c r="K19" s="114">
        <f>+I19*2%</f>
        <v>94319.5</v>
      </c>
      <c r="M19" s="114">
        <f>+K19+I19</f>
        <v>4810294.5</v>
      </c>
      <c r="O19" s="107"/>
    </row>
    <row r="20" spans="3:15" x14ac:dyDescent="0.25">
      <c r="C20" s="97" t="s">
        <v>125</v>
      </c>
      <c r="D20" s="11" t="s">
        <v>98</v>
      </c>
      <c r="E20" s="108">
        <v>43953.84</v>
      </c>
      <c r="F20" s="109"/>
      <c r="G20" s="109"/>
      <c r="H20" s="109"/>
      <c r="I20" s="113">
        <f t="shared" si="0"/>
        <v>43953.84</v>
      </c>
      <c r="J20" s="101"/>
      <c r="K20" s="114">
        <f>+I20*2%</f>
        <v>879.07679999999993</v>
      </c>
      <c r="M20" s="114">
        <f>+K20+I20</f>
        <v>44832.916799999999</v>
      </c>
      <c r="O20" s="107"/>
    </row>
    <row r="21" spans="3:15" x14ac:dyDescent="0.25">
      <c r="C21" s="97" t="s">
        <v>125</v>
      </c>
      <c r="D21" s="11" t="s">
        <v>94</v>
      </c>
      <c r="E21" s="108">
        <v>154448.4</v>
      </c>
      <c r="F21" s="109"/>
      <c r="G21" s="109"/>
      <c r="H21" s="109"/>
      <c r="I21" s="113">
        <f t="shared" si="0"/>
        <v>154448.4</v>
      </c>
      <c r="J21" s="101"/>
      <c r="K21" s="114">
        <f>+I21*2%</f>
        <v>3088.9679999999998</v>
      </c>
      <c r="M21" s="114">
        <f>+K21+I21</f>
        <v>157537.36799999999</v>
      </c>
      <c r="O21" s="107"/>
    </row>
    <row r="22" spans="3:15" x14ac:dyDescent="0.25">
      <c r="C22" s="97" t="s">
        <v>125</v>
      </c>
      <c r="D22" s="118" t="s">
        <v>37</v>
      </c>
      <c r="E22" s="108">
        <v>57000</v>
      </c>
      <c r="F22" s="109"/>
      <c r="G22" s="109"/>
      <c r="H22" s="109"/>
      <c r="I22" s="113">
        <f t="shared" si="0"/>
        <v>57000</v>
      </c>
      <c r="J22" s="101"/>
      <c r="K22" s="114">
        <f>+I22*2%</f>
        <v>1140</v>
      </c>
      <c r="M22" s="114">
        <f>+K22+I22</f>
        <v>58140</v>
      </c>
      <c r="O22" s="107"/>
    </row>
    <row r="23" spans="3:15" x14ac:dyDescent="0.25">
      <c r="C23" s="97"/>
      <c r="D23" s="11"/>
      <c r="E23" s="108"/>
      <c r="F23" s="109"/>
      <c r="G23" s="109"/>
      <c r="H23" s="109"/>
      <c r="I23" s="113"/>
      <c r="J23" s="101"/>
      <c r="K23" s="114"/>
      <c r="M23" s="114"/>
      <c r="O23" s="107"/>
    </row>
    <row r="24" spans="3:15" x14ac:dyDescent="0.25">
      <c r="C24" s="97" t="s">
        <v>126</v>
      </c>
      <c r="D24" s="11" t="s">
        <v>92</v>
      </c>
      <c r="E24" s="108">
        <v>3883540.0000000005</v>
      </c>
      <c r="F24" s="109"/>
      <c r="G24" s="109"/>
      <c r="H24" s="109"/>
      <c r="I24" s="113">
        <f t="shared" si="0"/>
        <v>3883540.0000000005</v>
      </c>
      <c r="J24" s="101"/>
      <c r="K24" s="114">
        <f>+I24*2%</f>
        <v>77670.800000000017</v>
      </c>
      <c r="M24" s="114">
        <f>+K24+I24</f>
        <v>3961210.8000000003</v>
      </c>
      <c r="O24" s="107"/>
    </row>
    <row r="25" spans="3:15" x14ac:dyDescent="0.25">
      <c r="C25" s="97" t="s">
        <v>126</v>
      </c>
      <c r="D25" s="11" t="s">
        <v>429</v>
      </c>
      <c r="E25" s="108">
        <v>63302.219999999994</v>
      </c>
      <c r="F25" s="109"/>
      <c r="G25" s="109"/>
      <c r="H25" s="109"/>
      <c r="I25" s="113">
        <f t="shared" si="0"/>
        <v>63302.219999999994</v>
      </c>
      <c r="J25" s="101"/>
      <c r="K25" s="114">
        <f>+I25*2%</f>
        <v>1266.0444</v>
      </c>
      <c r="M25" s="114">
        <f>+K25+I25</f>
        <v>64568.264399999993</v>
      </c>
      <c r="O25" s="107"/>
    </row>
    <row r="26" spans="3:15" x14ac:dyDescent="0.25">
      <c r="C26" s="97" t="s">
        <v>126</v>
      </c>
      <c r="D26" s="116" t="s">
        <v>430</v>
      </c>
      <c r="E26" s="108">
        <v>679534</v>
      </c>
      <c r="F26" s="109"/>
      <c r="G26" s="109"/>
      <c r="H26" s="109"/>
      <c r="I26" s="113">
        <f t="shared" si="0"/>
        <v>679534</v>
      </c>
      <c r="J26" s="101"/>
      <c r="K26" s="114"/>
      <c r="M26" s="114">
        <f>+K26+I26</f>
        <v>679534</v>
      </c>
      <c r="O26" s="107"/>
    </row>
    <row r="27" spans="3:15" x14ac:dyDescent="0.25">
      <c r="C27" s="97" t="s">
        <v>126</v>
      </c>
      <c r="D27" s="118" t="s">
        <v>37</v>
      </c>
      <c r="E27" s="108">
        <v>48000</v>
      </c>
      <c r="F27" s="109"/>
      <c r="G27" s="109"/>
      <c r="H27" s="109"/>
      <c r="I27" s="113">
        <f t="shared" si="0"/>
        <v>48000</v>
      </c>
      <c r="J27" s="101"/>
      <c r="K27" s="114">
        <f>+I27*2%</f>
        <v>960</v>
      </c>
      <c r="M27" s="114">
        <f>+K27+I27</f>
        <v>48960</v>
      </c>
      <c r="O27" s="107"/>
    </row>
    <row r="28" spans="3:15" x14ac:dyDescent="0.25">
      <c r="C28" s="97"/>
      <c r="D28" s="116"/>
      <c r="E28" s="108"/>
      <c r="F28" s="109"/>
      <c r="G28" s="109"/>
      <c r="H28" s="109"/>
      <c r="I28" s="113"/>
      <c r="J28" s="101"/>
      <c r="K28" s="114"/>
      <c r="M28" s="114"/>
      <c r="O28" s="107"/>
    </row>
    <row r="29" spans="3:15" x14ac:dyDescent="0.25">
      <c r="C29" s="97" t="s">
        <v>127</v>
      </c>
      <c r="D29" s="11" t="s">
        <v>92</v>
      </c>
      <c r="E29" s="108">
        <v>2044965.9999999998</v>
      </c>
      <c r="F29" s="109"/>
      <c r="G29" s="109"/>
      <c r="H29" s="109"/>
      <c r="I29" s="113">
        <f t="shared" si="0"/>
        <v>2044965.9999999998</v>
      </c>
      <c r="J29" s="101"/>
      <c r="K29" s="114">
        <f>+I29*2%</f>
        <v>40899.32</v>
      </c>
      <c r="M29" s="114">
        <f>+K29+I29</f>
        <v>2085865.3199999998</v>
      </c>
      <c r="O29" s="107"/>
    </row>
    <row r="30" spans="3:15" x14ac:dyDescent="0.25">
      <c r="C30" s="97" t="s">
        <v>127</v>
      </c>
      <c r="D30" s="353" t="s">
        <v>431</v>
      </c>
      <c r="E30" s="108"/>
      <c r="F30" s="109"/>
      <c r="G30" s="109">
        <v>121249</v>
      </c>
      <c r="H30" s="109"/>
      <c r="I30" s="113">
        <f t="shared" si="0"/>
        <v>121249</v>
      </c>
      <c r="J30" s="101"/>
      <c r="K30" s="114">
        <f>+I30*2%</f>
        <v>2424.98</v>
      </c>
      <c r="M30" s="114">
        <f>+K30+I30</f>
        <v>123673.98</v>
      </c>
      <c r="O30" s="107"/>
    </row>
    <row r="31" spans="3:15" x14ac:dyDescent="0.25">
      <c r="C31" s="97" t="s">
        <v>127</v>
      </c>
      <c r="D31" s="118" t="s">
        <v>37</v>
      </c>
      <c r="E31" s="108">
        <v>27000</v>
      </c>
      <c r="F31" s="109"/>
      <c r="G31" s="109"/>
      <c r="H31" s="109"/>
      <c r="I31" s="113">
        <f t="shared" si="0"/>
        <v>27000</v>
      </c>
      <c r="J31" s="101"/>
      <c r="K31" s="114">
        <f>+I31*2%</f>
        <v>540</v>
      </c>
      <c r="M31" s="114">
        <f>+K31+I31</f>
        <v>27540</v>
      </c>
      <c r="O31" s="107"/>
    </row>
    <row r="32" spans="3:15" x14ac:dyDescent="0.25">
      <c r="C32" s="97"/>
      <c r="D32" s="11"/>
      <c r="E32" s="108"/>
      <c r="F32" s="109"/>
      <c r="G32" s="109"/>
      <c r="H32" s="109"/>
      <c r="I32" s="113"/>
      <c r="J32" s="101"/>
      <c r="K32" s="114"/>
      <c r="M32" s="114"/>
      <c r="O32" s="107"/>
    </row>
    <row r="33" spans="3:15" x14ac:dyDescent="0.25">
      <c r="C33" s="97" t="s">
        <v>14</v>
      </c>
      <c r="D33" s="11" t="s">
        <v>92</v>
      </c>
      <c r="E33" s="108">
        <v>2103317.0000000005</v>
      </c>
      <c r="F33" s="109"/>
      <c r="G33" s="109"/>
      <c r="H33" s="109"/>
      <c r="I33" s="113">
        <f t="shared" si="0"/>
        <v>2103317.0000000005</v>
      </c>
      <c r="J33" s="101"/>
      <c r="K33" s="114">
        <f>+I33*2%</f>
        <v>42066.340000000011</v>
      </c>
      <c r="M33" s="114">
        <f>+K33+I33</f>
        <v>2145383.3400000003</v>
      </c>
      <c r="O33" s="107"/>
    </row>
    <row r="34" spans="3:15" x14ac:dyDescent="0.25">
      <c r="C34" s="97" t="s">
        <v>14</v>
      </c>
      <c r="D34" s="11" t="s">
        <v>155</v>
      </c>
      <c r="E34" s="108">
        <v>1151709.54</v>
      </c>
      <c r="F34" s="109"/>
      <c r="G34" s="109"/>
      <c r="H34" s="109"/>
      <c r="I34" s="113">
        <f t="shared" si="0"/>
        <v>1151709.54</v>
      </c>
      <c r="J34" s="101"/>
      <c r="K34" s="114">
        <f>+I34*2%</f>
        <v>23034.1908</v>
      </c>
      <c r="M34" s="114">
        <f>+K34+I34</f>
        <v>1174743.7308</v>
      </c>
      <c r="O34" s="107"/>
    </row>
    <row r="35" spans="3:15" ht="30" x14ac:dyDescent="0.25">
      <c r="C35" s="97" t="s">
        <v>14</v>
      </c>
      <c r="D35" s="354" t="s">
        <v>432</v>
      </c>
      <c r="E35" s="108"/>
      <c r="F35" s="109"/>
      <c r="G35" s="109">
        <v>33079</v>
      </c>
      <c r="H35" s="109"/>
      <c r="I35" s="113">
        <f t="shared" si="0"/>
        <v>33079</v>
      </c>
      <c r="J35" s="101"/>
      <c r="K35" s="114">
        <f>+I35*2%</f>
        <v>661.58</v>
      </c>
      <c r="M35" s="114">
        <f>+K35+I35</f>
        <v>33740.58</v>
      </c>
      <c r="O35" s="107"/>
    </row>
    <row r="36" spans="3:15" x14ac:dyDescent="0.25">
      <c r="C36" s="97" t="s">
        <v>14</v>
      </c>
      <c r="D36" s="354" t="s">
        <v>37</v>
      </c>
      <c r="E36" s="108">
        <v>36000</v>
      </c>
      <c r="F36" s="109"/>
      <c r="G36" s="109"/>
      <c r="H36" s="109"/>
      <c r="I36" s="113">
        <f t="shared" si="0"/>
        <v>36000</v>
      </c>
      <c r="J36" s="101"/>
      <c r="K36" s="114">
        <f>+I36*2%</f>
        <v>720</v>
      </c>
      <c r="M36" s="114">
        <f>+K36+I36</f>
        <v>36720</v>
      </c>
      <c r="O36" s="107"/>
    </row>
    <row r="37" spans="3:15" x14ac:dyDescent="0.25">
      <c r="C37" s="97"/>
      <c r="D37" s="11"/>
      <c r="E37" s="108"/>
      <c r="F37" s="109"/>
      <c r="G37" s="109"/>
      <c r="H37" s="109"/>
      <c r="I37" s="113"/>
      <c r="J37" s="101"/>
      <c r="K37" s="114"/>
      <c r="M37" s="114"/>
      <c r="O37" s="107"/>
    </row>
    <row r="38" spans="3:15" x14ac:dyDescent="0.25">
      <c r="C38" s="97" t="s">
        <v>128</v>
      </c>
      <c r="D38" s="11" t="s">
        <v>92</v>
      </c>
      <c r="E38" s="108">
        <v>619753</v>
      </c>
      <c r="F38" s="109"/>
      <c r="G38" s="109"/>
      <c r="H38" s="109"/>
      <c r="I38" s="113">
        <f t="shared" si="0"/>
        <v>619753</v>
      </c>
      <c r="J38" s="101"/>
      <c r="K38" s="114">
        <f t="shared" ref="K38:K43" si="1">+I38*2%</f>
        <v>12395.06</v>
      </c>
      <c r="M38" s="114">
        <f t="shared" ref="M38:M43" si="2">+K38+I38</f>
        <v>632148.06000000006</v>
      </c>
      <c r="O38" s="107"/>
    </row>
    <row r="39" spans="3:15" x14ac:dyDescent="0.25">
      <c r="C39" s="97" t="s">
        <v>128</v>
      </c>
      <c r="D39" s="11" t="s">
        <v>155</v>
      </c>
      <c r="E39" s="108"/>
      <c r="F39" s="109"/>
      <c r="G39" s="109">
        <v>336679.14</v>
      </c>
      <c r="H39" s="109"/>
      <c r="I39" s="113">
        <f t="shared" si="0"/>
        <v>336679.14</v>
      </c>
      <c r="J39" s="101"/>
      <c r="K39" s="114">
        <f t="shared" si="1"/>
        <v>6733.5828000000001</v>
      </c>
      <c r="M39" s="114">
        <f t="shared" si="2"/>
        <v>343412.72279999999</v>
      </c>
      <c r="O39" s="107"/>
    </row>
    <row r="40" spans="3:15" x14ac:dyDescent="0.25">
      <c r="C40" s="97" t="s">
        <v>128</v>
      </c>
      <c r="D40" s="11" t="s">
        <v>105</v>
      </c>
      <c r="E40" s="108">
        <v>260349.90000000005</v>
      </c>
      <c r="F40" s="109"/>
      <c r="G40" s="109"/>
      <c r="H40" s="109"/>
      <c r="I40" s="113">
        <f t="shared" si="0"/>
        <v>260349.90000000005</v>
      </c>
      <c r="J40" s="101"/>
      <c r="K40" s="114">
        <f t="shared" si="1"/>
        <v>5206.9980000000014</v>
      </c>
      <c r="M40" s="114">
        <f t="shared" si="2"/>
        <v>265556.89800000004</v>
      </c>
      <c r="O40" s="107"/>
    </row>
    <row r="41" spans="3:15" x14ac:dyDescent="0.25">
      <c r="C41" s="97" t="s">
        <v>128</v>
      </c>
      <c r="D41" s="11" t="s">
        <v>106</v>
      </c>
      <c r="E41" s="108">
        <v>120515.04</v>
      </c>
      <c r="F41" s="109"/>
      <c r="G41" s="109"/>
      <c r="H41" s="109"/>
      <c r="I41" s="113">
        <f t="shared" si="0"/>
        <v>120515.04</v>
      </c>
      <c r="J41" s="101"/>
      <c r="K41" s="114">
        <f t="shared" si="1"/>
        <v>2410.3008</v>
      </c>
      <c r="M41" s="114">
        <f t="shared" si="2"/>
        <v>122925.34079999999</v>
      </c>
      <c r="O41" s="107"/>
    </row>
    <row r="42" spans="3:15" x14ac:dyDescent="0.25">
      <c r="C42" s="97" t="s">
        <v>128</v>
      </c>
      <c r="D42" s="118" t="s">
        <v>107</v>
      </c>
      <c r="E42" s="108">
        <v>68914.34</v>
      </c>
      <c r="F42" s="109"/>
      <c r="G42" s="109"/>
      <c r="H42" s="109"/>
      <c r="I42" s="113">
        <f t="shared" si="0"/>
        <v>68914.34</v>
      </c>
      <c r="J42" s="101"/>
      <c r="K42" s="114">
        <f t="shared" si="1"/>
        <v>1378.2867999999999</v>
      </c>
      <c r="M42" s="114">
        <f t="shared" si="2"/>
        <v>70292.626799999998</v>
      </c>
      <c r="O42" s="107"/>
    </row>
    <row r="43" spans="3:15" x14ac:dyDescent="0.25">
      <c r="C43" s="97" t="s">
        <v>128</v>
      </c>
      <c r="D43" s="354" t="s">
        <v>37</v>
      </c>
      <c r="E43" s="108">
        <v>16000</v>
      </c>
      <c r="F43" s="109"/>
      <c r="G43" s="109"/>
      <c r="H43" s="109"/>
      <c r="I43" s="113">
        <f t="shared" si="0"/>
        <v>16000</v>
      </c>
      <c r="J43" s="101"/>
      <c r="K43" s="114">
        <f t="shared" si="1"/>
        <v>320</v>
      </c>
      <c r="M43" s="114">
        <f t="shared" si="2"/>
        <v>16320</v>
      </c>
      <c r="O43" s="107"/>
    </row>
    <row r="44" spans="3:15" x14ac:dyDescent="0.25">
      <c r="C44" s="97"/>
      <c r="D44" s="118"/>
      <c r="E44" s="108"/>
      <c r="F44" s="109"/>
      <c r="G44" s="109"/>
      <c r="H44" s="109"/>
      <c r="I44" s="113"/>
      <c r="J44" s="101"/>
      <c r="K44" s="114"/>
      <c r="M44" s="114"/>
      <c r="O44" s="107"/>
    </row>
    <row r="45" spans="3:15" x14ac:dyDescent="0.25">
      <c r="C45" s="97" t="s">
        <v>129</v>
      </c>
      <c r="D45" s="11" t="s">
        <v>92</v>
      </c>
      <c r="E45" s="108">
        <v>677477</v>
      </c>
      <c r="F45" s="109"/>
      <c r="G45" s="109"/>
      <c r="H45" s="109"/>
      <c r="I45" s="113">
        <f t="shared" si="0"/>
        <v>677477</v>
      </c>
      <c r="J45" s="101"/>
      <c r="K45" s="114">
        <f>+I45*2%</f>
        <v>13549.54</v>
      </c>
      <c r="M45" s="114">
        <f>+K45+I45</f>
        <v>691026.54</v>
      </c>
      <c r="O45" s="107"/>
    </row>
    <row r="46" spans="3:15" x14ac:dyDescent="0.25">
      <c r="C46" s="97" t="s">
        <v>129</v>
      </c>
      <c r="D46" s="354" t="s">
        <v>37</v>
      </c>
      <c r="E46" s="108">
        <v>6000</v>
      </c>
      <c r="F46" s="109"/>
      <c r="G46" s="109"/>
      <c r="H46" s="109"/>
      <c r="I46" s="113">
        <f t="shared" si="0"/>
        <v>6000</v>
      </c>
      <c r="J46" s="101"/>
      <c r="K46" s="114">
        <f>+I46*2%</f>
        <v>120</v>
      </c>
      <c r="M46" s="114">
        <f>+K46+I46</f>
        <v>6120</v>
      </c>
      <c r="O46" s="107"/>
    </row>
    <row r="47" spans="3:15" ht="15.75" thickBot="1" x14ac:dyDescent="0.3">
      <c r="C47" s="97"/>
      <c r="D47" s="11"/>
      <c r="E47" s="119"/>
      <c r="F47" s="120"/>
      <c r="G47" s="120"/>
      <c r="H47" s="120"/>
      <c r="I47" s="355"/>
      <c r="J47" s="101"/>
      <c r="K47" s="114"/>
      <c r="M47" s="124"/>
      <c r="O47" s="107"/>
    </row>
    <row r="48" spans="3:15" ht="15.75" thickBot="1" x14ac:dyDescent="0.3">
      <c r="C48" s="125"/>
      <c r="D48" s="126" t="s">
        <v>109</v>
      </c>
      <c r="E48" s="127">
        <f>SUM(E10:E47)</f>
        <v>24305774.680408541</v>
      </c>
      <c r="F48" s="128"/>
      <c r="G48" s="128">
        <f>SUM(G10:G47)</f>
        <v>491007.14</v>
      </c>
      <c r="H48" s="128"/>
      <c r="I48" s="129">
        <f>SUM(I10:I47)</f>
        <v>24796781.820408542</v>
      </c>
      <c r="J48" s="130"/>
      <c r="K48" s="132">
        <f>SUM(K10:K47)</f>
        <v>482344.95640817092</v>
      </c>
      <c r="M48" s="132">
        <f>SUM(M10:M47)</f>
        <v>25279126.776816715</v>
      </c>
      <c r="O48" s="107"/>
    </row>
    <row r="49" spans="3:15" x14ac:dyDescent="0.25">
      <c r="C49" s="11"/>
      <c r="D49" s="356" t="s">
        <v>439</v>
      </c>
      <c r="E49" s="357">
        <f>SUM(E46,E43,E36,E31,E27,E22,E17,E13)</f>
        <v>273000</v>
      </c>
      <c r="F49" s="136"/>
      <c r="G49" s="136"/>
      <c r="H49" s="136"/>
      <c r="I49" s="136"/>
      <c r="J49" s="137"/>
      <c r="K49" s="107"/>
      <c r="O49" s="107"/>
    </row>
    <row r="50" spans="3:15" x14ac:dyDescent="0.25">
      <c r="C50" s="10" t="s">
        <v>62</v>
      </c>
      <c r="D50" t="s">
        <v>440</v>
      </c>
      <c r="E50" s="107">
        <f>E48-E49</f>
        <v>24032774.680408541</v>
      </c>
      <c r="J50" s="42"/>
      <c r="K50" s="107"/>
      <c r="O50" s="107"/>
    </row>
    <row r="51" spans="3:15" x14ac:dyDescent="0.25">
      <c r="C51" s="138" t="s">
        <v>433</v>
      </c>
      <c r="J51" s="42"/>
      <c r="O51" s="107"/>
    </row>
    <row r="52" spans="3:15" x14ac:dyDescent="0.25">
      <c r="C52" s="138" t="s">
        <v>131</v>
      </c>
      <c r="J52" s="42"/>
      <c r="O52" s="107"/>
    </row>
    <row r="53" spans="3:15" x14ac:dyDescent="0.25">
      <c r="C53" s="138" t="s">
        <v>132</v>
      </c>
      <c r="J53" s="42"/>
      <c r="O53" s="107"/>
    </row>
    <row r="54" spans="3:15" x14ac:dyDescent="0.25">
      <c r="C54" s="138" t="s">
        <v>133</v>
      </c>
      <c r="J54" s="42"/>
      <c r="O54" s="107"/>
    </row>
    <row r="55" spans="3:15" x14ac:dyDescent="0.25">
      <c r="C55" s="138" t="s">
        <v>134</v>
      </c>
      <c r="J55" s="42"/>
      <c r="O55" s="107"/>
    </row>
    <row r="56" spans="3:15" x14ac:dyDescent="0.25">
      <c r="C56" s="138" t="s">
        <v>434</v>
      </c>
      <c r="J56" s="42"/>
      <c r="O56" s="107"/>
    </row>
    <row r="57" spans="3:15" x14ac:dyDescent="0.25">
      <c r="C57" s="138" t="s">
        <v>435</v>
      </c>
      <c r="J57" s="42"/>
      <c r="O57" s="107"/>
    </row>
    <row r="58" spans="3:15" x14ac:dyDescent="0.25">
      <c r="J58" s="42"/>
      <c r="O58" s="107"/>
    </row>
    <row r="59" spans="3:15" ht="15.75" thickBot="1" x14ac:dyDescent="0.3">
      <c r="J59" s="42"/>
      <c r="O59" s="107"/>
    </row>
    <row r="60" spans="3:15" x14ac:dyDescent="0.25">
      <c r="C60" s="139" t="s">
        <v>436</v>
      </c>
      <c r="D60" s="140"/>
      <c r="E60" s="140"/>
      <c r="F60" s="141"/>
      <c r="J60" s="42"/>
      <c r="O60" s="107"/>
    </row>
    <row r="61" spans="3:15" x14ac:dyDescent="0.25">
      <c r="C61" s="97"/>
      <c r="D61" s="11"/>
      <c r="E61" s="142" t="s">
        <v>139</v>
      </c>
      <c r="F61" s="143"/>
      <c r="J61" s="42"/>
      <c r="O61" s="107"/>
    </row>
    <row r="62" spans="3:15" x14ac:dyDescent="0.25">
      <c r="C62" s="97" t="s">
        <v>140</v>
      </c>
      <c r="D62" s="11" t="s">
        <v>437</v>
      </c>
      <c r="E62" s="144">
        <v>57</v>
      </c>
      <c r="F62" s="143"/>
      <c r="J62" s="42"/>
      <c r="O62" s="107"/>
    </row>
    <row r="63" spans="3:15" x14ac:dyDescent="0.25">
      <c r="C63" s="97" t="s">
        <v>142</v>
      </c>
      <c r="D63" s="11" t="s">
        <v>143</v>
      </c>
      <c r="E63" s="144">
        <v>28</v>
      </c>
      <c r="F63" s="143"/>
      <c r="J63" s="42"/>
    </row>
    <row r="64" spans="3:15" x14ac:dyDescent="0.25">
      <c r="C64" s="97" t="s">
        <v>144</v>
      </c>
      <c r="D64" s="11" t="s">
        <v>147</v>
      </c>
      <c r="E64" s="144">
        <v>2</v>
      </c>
      <c r="F64" s="143"/>
      <c r="J64" s="42"/>
    </row>
    <row r="65" spans="3:10" x14ac:dyDescent="0.25">
      <c r="C65" s="97" t="s">
        <v>144</v>
      </c>
      <c r="D65" s="11" t="s">
        <v>149</v>
      </c>
      <c r="E65" s="144">
        <v>11</v>
      </c>
      <c r="F65" s="143"/>
      <c r="J65" s="42"/>
    </row>
    <row r="66" spans="3:10" x14ac:dyDescent="0.25">
      <c r="C66" s="97" t="s">
        <v>150</v>
      </c>
      <c r="D66" s="11" t="s">
        <v>151</v>
      </c>
      <c r="E66" s="145">
        <v>100</v>
      </c>
      <c r="F66" s="143"/>
      <c r="J66" s="42"/>
    </row>
    <row r="67" spans="3:10" x14ac:dyDescent="0.25">
      <c r="C67" s="146"/>
      <c r="D67" s="135" t="s">
        <v>152</v>
      </c>
      <c r="E67" s="147">
        <f>SUM(E62:E66)</f>
        <v>198</v>
      </c>
      <c r="F67" s="143"/>
      <c r="J67" s="42"/>
    </row>
    <row r="68" spans="3:10" ht="15.75" thickBot="1" x14ac:dyDescent="0.3">
      <c r="C68" s="148"/>
      <c r="D68" s="149"/>
      <c r="E68" s="149"/>
      <c r="F68" s="150"/>
      <c r="J68" s="42"/>
    </row>
  </sheetData>
  <mergeCells count="1">
    <mergeCell ref="E7:I7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16"/>
  <sheetViews>
    <sheetView workbookViewId="0">
      <selection activeCell="B3" sqref="B3"/>
    </sheetView>
  </sheetViews>
  <sheetFormatPr defaultRowHeight="15" x14ac:dyDescent="0.25"/>
  <cols>
    <col min="1" max="1" width="35.42578125" customWidth="1"/>
    <col min="2" max="2" width="10.85546875" customWidth="1"/>
    <col min="3" max="9" width="9.85546875" bestFit="1" customWidth="1"/>
  </cols>
  <sheetData>
    <row r="1" spans="1:10" x14ac:dyDescent="0.25">
      <c r="A1" s="10" t="s">
        <v>413</v>
      </c>
    </row>
    <row r="2" spans="1:10" ht="15.75" thickBot="1" x14ac:dyDescent="0.3"/>
    <row r="3" spans="1:10" x14ac:dyDescent="0.25">
      <c r="A3" s="317"/>
      <c r="B3" s="318" t="s">
        <v>396</v>
      </c>
      <c r="C3" s="318" t="s">
        <v>95</v>
      </c>
      <c r="D3" s="319" t="s">
        <v>125</v>
      </c>
      <c r="E3" s="318" t="s">
        <v>397</v>
      </c>
      <c r="F3" s="318" t="s">
        <v>102</v>
      </c>
      <c r="G3" s="318" t="s">
        <v>103</v>
      </c>
      <c r="H3" s="318" t="s">
        <v>398</v>
      </c>
      <c r="I3" s="319" t="s">
        <v>399</v>
      </c>
    </row>
    <row r="4" spans="1:10" ht="38.25" x14ac:dyDescent="0.25">
      <c r="A4" s="320" t="s">
        <v>400</v>
      </c>
      <c r="B4" s="321"/>
      <c r="C4" s="321"/>
      <c r="D4" s="322"/>
      <c r="E4" s="321"/>
      <c r="F4" s="321"/>
      <c r="G4" s="321"/>
      <c r="H4" s="321"/>
      <c r="I4" s="322"/>
    </row>
    <row r="5" spans="1:10" x14ac:dyDescent="0.25">
      <c r="A5" s="323" t="s">
        <v>253</v>
      </c>
      <c r="B5" s="324">
        <v>1</v>
      </c>
      <c r="C5" s="325">
        <v>0.21602731253118918</v>
      </c>
      <c r="D5" s="325">
        <v>0.199346120232019</v>
      </c>
      <c r="E5" s="325">
        <v>0.187691199254515</v>
      </c>
      <c r="F5" s="325">
        <v>0.17832112891749805</v>
      </c>
      <c r="G5" s="325">
        <v>8.0542414380359459E-2</v>
      </c>
      <c r="H5" s="325">
        <v>4.7111883219661178E-2</v>
      </c>
      <c r="I5" s="325">
        <v>9.0959988923963703E-2</v>
      </c>
      <c r="J5" t="s">
        <v>412</v>
      </c>
    </row>
    <row r="6" spans="1:10" ht="15.75" thickBot="1" x14ac:dyDescent="0.3">
      <c r="A6" s="326" t="s">
        <v>401</v>
      </c>
      <c r="B6" s="327">
        <v>0.48</v>
      </c>
      <c r="C6" s="328">
        <f t="shared" ref="C6:I6" si="0">ROUND(+$B6*C5,5)</f>
        <v>0.10369</v>
      </c>
      <c r="D6" s="328">
        <f t="shared" si="0"/>
        <v>9.5689999999999997E-2</v>
      </c>
      <c r="E6" s="328">
        <f t="shared" si="0"/>
        <v>9.0090000000000003E-2</v>
      </c>
      <c r="F6" s="328">
        <f t="shared" si="0"/>
        <v>8.5589999999999999E-2</v>
      </c>
      <c r="G6" s="328">
        <f t="shared" si="0"/>
        <v>3.866E-2</v>
      </c>
      <c r="H6" s="328">
        <f t="shared" si="0"/>
        <v>2.2610000000000002E-2</v>
      </c>
      <c r="I6" s="328">
        <f t="shared" si="0"/>
        <v>4.3659999999999997E-2</v>
      </c>
    </row>
    <row r="7" spans="1:10" ht="15.75" thickBot="1" x14ac:dyDescent="0.3"/>
    <row r="8" spans="1:10" ht="15.75" thickBot="1" x14ac:dyDescent="0.3">
      <c r="B8" s="318" t="s">
        <v>396</v>
      </c>
      <c r="C8" s="318" t="s">
        <v>95</v>
      </c>
      <c r="D8" s="319" t="s">
        <v>125</v>
      </c>
      <c r="E8" s="318" t="s">
        <v>397</v>
      </c>
      <c r="F8" s="318" t="s">
        <v>102</v>
      </c>
      <c r="G8" s="318" t="s">
        <v>103</v>
      </c>
      <c r="H8" s="318" t="s">
        <v>398</v>
      </c>
      <c r="I8" s="319" t="s">
        <v>399</v>
      </c>
    </row>
    <row r="9" spans="1:10" ht="51.75" x14ac:dyDescent="0.25">
      <c r="A9" s="329" t="s">
        <v>402</v>
      </c>
      <c r="B9" s="330">
        <v>3155870.5242109988</v>
      </c>
      <c r="C9" s="331">
        <v>598145.24326163798</v>
      </c>
      <c r="D9" s="331">
        <v>706172.90381298901</v>
      </c>
      <c r="E9" s="331">
        <v>426164.97349328501</v>
      </c>
      <c r="F9" s="331">
        <v>477523.54021696502</v>
      </c>
      <c r="G9" s="331">
        <v>407020.54917343199</v>
      </c>
      <c r="H9" s="331">
        <v>131564.74890549501</v>
      </c>
      <c r="I9" s="331">
        <v>409278.56534719502</v>
      </c>
      <c r="J9" t="s">
        <v>403</v>
      </c>
    </row>
    <row r="10" spans="1:10" x14ac:dyDescent="0.25">
      <c r="A10" s="332" t="s">
        <v>253</v>
      </c>
      <c r="B10" s="333">
        <v>1</v>
      </c>
      <c r="C10" s="334">
        <v>0.18953415188387066</v>
      </c>
      <c r="D10" s="334">
        <v>0.22376485296067072</v>
      </c>
      <c r="E10" s="334">
        <v>0.13503880156801767</v>
      </c>
      <c r="F10" s="334">
        <v>0.1513127793277739</v>
      </c>
      <c r="G10" s="334">
        <v>0.12897251203776539</v>
      </c>
      <c r="H10" s="334">
        <v>4.1688893095000339E-2</v>
      </c>
      <c r="I10" s="334">
        <v>0.12968800912690137</v>
      </c>
    </row>
    <row r="11" spans="1:10" ht="15.75" thickBot="1" x14ac:dyDescent="0.3"/>
    <row r="12" spans="1:10" ht="15.75" thickBot="1" x14ac:dyDescent="0.3">
      <c r="B12" s="318" t="s">
        <v>396</v>
      </c>
      <c r="C12" s="318" t="s">
        <v>95</v>
      </c>
      <c r="D12" s="319" t="s">
        <v>125</v>
      </c>
      <c r="E12" s="318" t="s">
        <v>397</v>
      </c>
      <c r="F12" s="318" t="s">
        <v>102</v>
      </c>
      <c r="G12" s="318" t="s">
        <v>103</v>
      </c>
      <c r="H12" s="318" t="s">
        <v>398</v>
      </c>
      <c r="I12" s="319" t="s">
        <v>399</v>
      </c>
    </row>
    <row r="13" spans="1:10" ht="51.75" x14ac:dyDescent="0.25">
      <c r="A13" s="335" t="s">
        <v>404</v>
      </c>
      <c r="B13" s="336"/>
      <c r="C13" s="337"/>
      <c r="D13" s="337"/>
      <c r="E13" s="337"/>
      <c r="F13" s="337"/>
      <c r="G13" s="337"/>
      <c r="H13" s="337"/>
      <c r="I13" s="337"/>
    </row>
    <row r="14" spans="1:10" x14ac:dyDescent="0.25">
      <c r="A14" s="338" t="s">
        <v>405</v>
      </c>
      <c r="B14" s="339">
        <v>0.53300000000000014</v>
      </c>
      <c r="C14" s="340">
        <v>0.10102170295410307</v>
      </c>
      <c r="D14" s="340">
        <v>0.1192666666280375</v>
      </c>
      <c r="E14" s="340">
        <v>7.197568123575343E-2</v>
      </c>
      <c r="F14" s="340">
        <v>8.0649711381703487E-2</v>
      </c>
      <c r="G14" s="340">
        <v>6.8742348916128959E-2</v>
      </c>
      <c r="H14" s="340">
        <v>2.2220180019635181E-2</v>
      </c>
      <c r="I14" s="340">
        <v>6.9123708864638436E-2</v>
      </c>
    </row>
    <row r="15" spans="1:10" ht="15.75" thickBot="1" x14ac:dyDescent="0.3">
      <c r="A15" s="338" t="s">
        <v>406</v>
      </c>
      <c r="B15" s="341">
        <v>0.53300000000000014</v>
      </c>
      <c r="C15" s="342">
        <v>0.10102170295410307</v>
      </c>
      <c r="D15" s="342">
        <v>0.1192666666280375</v>
      </c>
      <c r="E15" s="342">
        <v>7.197568123575343E-2</v>
      </c>
      <c r="F15" s="342">
        <v>8.0649711381703487E-2</v>
      </c>
      <c r="G15" s="342">
        <v>6.8742348916128959E-2</v>
      </c>
      <c r="H15" s="342">
        <v>2.2220180019635181E-2</v>
      </c>
      <c r="I15" s="342">
        <v>6.9123708864638436E-2</v>
      </c>
    </row>
    <row r="16" spans="1:10" ht="15.75" thickBot="1" x14ac:dyDescent="0.3">
      <c r="A16" s="343" t="s">
        <v>407</v>
      </c>
      <c r="B16" s="336">
        <v>0.53400000000000003</v>
      </c>
      <c r="C16" s="340">
        <v>0.10102170295410307</v>
      </c>
      <c r="D16" s="340">
        <v>0.1192666666280375</v>
      </c>
      <c r="E16" s="340">
        <v>7.197568123575343E-2</v>
      </c>
      <c r="F16" s="340">
        <v>8.0649711381703487E-2</v>
      </c>
      <c r="G16" s="340">
        <v>6.8742348916128959E-2</v>
      </c>
      <c r="H16" s="340">
        <v>2.3E-2</v>
      </c>
      <c r="I16" s="340">
        <v>6.9123708864638436E-2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59"/>
  <sheetViews>
    <sheetView showGridLines="0" topLeftCell="B1" zoomScale="80" zoomScaleNormal="80" workbookViewId="0">
      <selection activeCell="S46" sqref="S46:U59"/>
    </sheetView>
  </sheetViews>
  <sheetFormatPr defaultRowHeight="15" x14ac:dyDescent="0.25"/>
  <cols>
    <col min="2" max="2" width="68.5703125" customWidth="1"/>
    <col min="3" max="3" width="15.140625" bestFit="1" customWidth="1"/>
    <col min="17" max="17" width="19.85546875" bestFit="1" customWidth="1"/>
    <col min="18" max="18" width="2.140625" customWidth="1"/>
    <col min="20" max="20" width="50.5703125" customWidth="1"/>
    <col min="21" max="21" width="13.85546875" customWidth="1"/>
    <col min="22" max="23" width="10.140625" customWidth="1"/>
    <col min="24" max="24" width="1.85546875" customWidth="1"/>
  </cols>
  <sheetData>
    <row r="2" spans="2:25" ht="15.75" thickBot="1" x14ac:dyDescent="0.3"/>
    <row r="3" spans="2:25" x14ac:dyDescent="0.25">
      <c r="B3" s="184" t="s">
        <v>37</v>
      </c>
      <c r="C3" s="185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1"/>
      <c r="S3" s="184" t="s">
        <v>205</v>
      </c>
      <c r="T3" s="140"/>
      <c r="U3" s="140"/>
      <c r="V3" s="140"/>
      <c r="W3" s="140"/>
      <c r="X3" s="141"/>
    </row>
    <row r="4" spans="2:25" x14ac:dyDescent="0.25">
      <c r="B4" s="146" t="s">
        <v>38</v>
      </c>
      <c r="C4" s="135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43"/>
      <c r="S4" s="146" t="s">
        <v>230</v>
      </c>
      <c r="T4" s="11"/>
      <c r="U4" s="11"/>
      <c r="V4" s="11"/>
      <c r="W4" s="11"/>
      <c r="X4" s="197"/>
    </row>
    <row r="5" spans="2:25" x14ac:dyDescent="0.25">
      <c r="B5" s="146" t="s">
        <v>230</v>
      </c>
      <c r="C5" s="135" t="s">
        <v>168</v>
      </c>
      <c r="D5" s="135" t="s">
        <v>40</v>
      </c>
      <c r="E5" s="135" t="s">
        <v>41</v>
      </c>
      <c r="F5" s="135" t="s">
        <v>39</v>
      </c>
      <c r="G5" s="135" t="s">
        <v>42</v>
      </c>
      <c r="H5" s="135" t="s">
        <v>43</v>
      </c>
      <c r="I5" s="135" t="s">
        <v>17</v>
      </c>
      <c r="J5" s="135" t="s">
        <v>62</v>
      </c>
      <c r="K5" s="11"/>
      <c r="L5" s="11"/>
      <c r="M5" s="11"/>
      <c r="N5" s="11"/>
      <c r="O5" s="11"/>
      <c r="P5" s="11"/>
      <c r="Q5" s="143"/>
      <c r="S5" s="146" t="s">
        <v>207</v>
      </c>
      <c r="T5" s="11"/>
      <c r="U5" s="11"/>
      <c r="V5" s="11"/>
      <c r="W5" s="11"/>
      <c r="X5" s="198"/>
    </row>
    <row r="6" spans="2:25" x14ac:dyDescent="0.25">
      <c r="B6" s="146" t="s">
        <v>193</v>
      </c>
      <c r="C6" s="186">
        <v>0</v>
      </c>
      <c r="D6" s="186">
        <v>1.4770000000000001</v>
      </c>
      <c r="E6" s="186">
        <v>0.192</v>
      </c>
      <c r="F6" s="186">
        <v>3.5999999999999997E-2</v>
      </c>
      <c r="G6" s="186"/>
      <c r="H6" s="186"/>
      <c r="I6" s="186">
        <f>SUM(D6:H6)</f>
        <v>1.7050000000000001</v>
      </c>
      <c r="J6" s="11"/>
      <c r="K6" s="11"/>
      <c r="L6" s="11"/>
      <c r="M6" s="11"/>
      <c r="N6" s="11"/>
      <c r="O6" s="11"/>
      <c r="P6" s="11"/>
      <c r="Q6" s="143"/>
      <c r="S6" s="146" t="s">
        <v>185</v>
      </c>
      <c r="T6" s="135" t="s">
        <v>184</v>
      </c>
      <c r="U6" s="135" t="s">
        <v>180</v>
      </c>
      <c r="V6" s="135" t="s">
        <v>15</v>
      </c>
      <c r="W6" s="135" t="s">
        <v>16</v>
      </c>
      <c r="X6" s="198"/>
      <c r="Y6" s="217" t="s">
        <v>246</v>
      </c>
    </row>
    <row r="7" spans="2:25" x14ac:dyDescent="0.25">
      <c r="B7" s="187" t="s">
        <v>45</v>
      </c>
      <c r="C7" s="188">
        <f>-SUM(D7:F7)</f>
        <v>1.7050000000000001</v>
      </c>
      <c r="D7" s="188">
        <v>-1.4770000000000001</v>
      </c>
      <c r="E7" s="188">
        <f>-E6</f>
        <v>-0.192</v>
      </c>
      <c r="F7" s="188">
        <f>-F6</f>
        <v>-3.5999999999999997E-2</v>
      </c>
      <c r="G7" s="188"/>
      <c r="H7" s="188"/>
      <c r="I7" s="188">
        <f t="shared" ref="I7:I11" si="0">SUM(D7:H7)</f>
        <v>-1.7050000000000001</v>
      </c>
      <c r="J7" s="11" t="s">
        <v>169</v>
      </c>
      <c r="K7" s="11"/>
      <c r="L7" s="11"/>
      <c r="M7" s="11"/>
      <c r="N7" s="11"/>
      <c r="O7" s="11"/>
      <c r="P7" s="11"/>
      <c r="Q7" s="143"/>
      <c r="S7" s="199" t="s">
        <v>39</v>
      </c>
      <c r="T7" s="200" t="s">
        <v>183</v>
      </c>
      <c r="U7" s="200" t="s">
        <v>55</v>
      </c>
      <c r="V7" s="173">
        <v>0.15</v>
      </c>
      <c r="W7" s="173"/>
      <c r="X7" s="198"/>
      <c r="Y7" s="18">
        <f>SUM(V7:W7)</f>
        <v>0.15</v>
      </c>
    </row>
    <row r="8" spans="2:25" x14ac:dyDescent="0.25">
      <c r="B8" s="146" t="s">
        <v>47</v>
      </c>
      <c r="C8" s="189">
        <v>-0.23</v>
      </c>
      <c r="D8" s="189"/>
      <c r="E8" s="189"/>
      <c r="F8" s="189">
        <v>0.15</v>
      </c>
      <c r="G8" s="189">
        <v>0.08</v>
      </c>
      <c r="H8" s="189">
        <v>0</v>
      </c>
      <c r="I8" s="189">
        <f t="shared" si="0"/>
        <v>0.22999999999999998</v>
      </c>
      <c r="J8" s="11" t="s">
        <v>48</v>
      </c>
      <c r="K8" s="11"/>
      <c r="L8" s="11"/>
      <c r="M8" s="11"/>
      <c r="N8" s="11"/>
      <c r="O8" s="11"/>
      <c r="P8" s="11"/>
      <c r="Q8" s="143"/>
      <c r="S8" s="199" t="s">
        <v>42</v>
      </c>
      <c r="T8" s="200" t="s">
        <v>182</v>
      </c>
      <c r="U8" s="200" t="s">
        <v>55</v>
      </c>
      <c r="V8" s="173">
        <v>0.08</v>
      </c>
      <c r="W8" s="173"/>
      <c r="X8" s="198"/>
      <c r="Y8" s="18">
        <f t="shared" ref="Y8:Y12" si="1">SUM(V8:W8)</f>
        <v>0.08</v>
      </c>
    </row>
    <row r="9" spans="2:25" x14ac:dyDescent="0.25">
      <c r="B9" s="97"/>
      <c r="C9" s="189">
        <v>-0.32500000000000001</v>
      </c>
      <c r="D9" s="189"/>
      <c r="E9" s="189"/>
      <c r="F9" s="189"/>
      <c r="G9" s="189"/>
      <c r="H9" s="189">
        <v>0.32500000000000001</v>
      </c>
      <c r="I9" s="189">
        <f t="shared" si="0"/>
        <v>0.32500000000000001</v>
      </c>
      <c r="J9" s="11" t="s">
        <v>67</v>
      </c>
      <c r="K9" s="11"/>
      <c r="L9" s="11"/>
      <c r="M9" s="11"/>
      <c r="N9" s="11"/>
      <c r="O9" s="11"/>
      <c r="P9" s="11"/>
      <c r="Q9" s="143"/>
      <c r="S9" s="201" t="s">
        <v>46</v>
      </c>
      <c r="T9" s="170" t="s">
        <v>186</v>
      </c>
      <c r="U9" s="200" t="s">
        <v>55</v>
      </c>
      <c r="V9" s="171">
        <v>3.3000000000000002E-2</v>
      </c>
      <c r="W9" s="172">
        <v>0.19700000000000001</v>
      </c>
      <c r="X9" s="198"/>
      <c r="Y9" s="18">
        <f t="shared" si="1"/>
        <v>0.23</v>
      </c>
    </row>
    <row r="10" spans="2:25" x14ac:dyDescent="0.25">
      <c r="B10" s="97"/>
      <c r="C10" s="189">
        <f>-SUM(V9:V13)</f>
        <v>-0.80629999999999991</v>
      </c>
      <c r="D10" s="189">
        <f>SUM(V11,V9:V10)</f>
        <v>0.67</v>
      </c>
      <c r="E10" s="189">
        <v>0.13600000000000001</v>
      </c>
      <c r="F10" s="189"/>
      <c r="G10" s="189"/>
      <c r="H10" s="189"/>
      <c r="I10" s="189">
        <f t="shared" si="0"/>
        <v>0.80600000000000005</v>
      </c>
      <c r="J10" s="11" t="s">
        <v>60</v>
      </c>
      <c r="K10" s="11"/>
      <c r="L10" s="11"/>
      <c r="M10" s="11"/>
      <c r="N10" s="11"/>
      <c r="O10" s="11"/>
      <c r="P10" s="11"/>
      <c r="Q10" s="143"/>
      <c r="S10" s="202" t="s">
        <v>44</v>
      </c>
      <c r="T10" s="170" t="s">
        <v>188</v>
      </c>
      <c r="U10" s="200" t="s">
        <v>55</v>
      </c>
      <c r="V10" s="171">
        <v>3.6999999999999998E-2</v>
      </c>
      <c r="W10" s="172">
        <v>0.14799999999999999</v>
      </c>
      <c r="X10" s="198"/>
      <c r="Y10" s="18">
        <f t="shared" si="1"/>
        <v>0.185</v>
      </c>
    </row>
    <row r="11" spans="2:25" x14ac:dyDescent="0.25">
      <c r="B11" s="97"/>
      <c r="C11" s="190">
        <v>-0.34399999999999997</v>
      </c>
      <c r="D11" s="189">
        <v>0.34399999999999997</v>
      </c>
      <c r="E11" s="189"/>
      <c r="F11" s="189"/>
      <c r="G11" s="189"/>
      <c r="H11" s="189"/>
      <c r="I11" s="189">
        <f t="shared" si="0"/>
        <v>0.34399999999999997</v>
      </c>
      <c r="J11" s="11" t="s">
        <v>160</v>
      </c>
      <c r="K11" s="11"/>
      <c r="L11" s="11"/>
      <c r="M11" s="11"/>
      <c r="N11" s="11"/>
      <c r="O11" s="11"/>
      <c r="P11" s="11"/>
      <c r="Q11" s="143"/>
      <c r="S11" s="201" t="s">
        <v>50</v>
      </c>
      <c r="T11" s="170" t="s">
        <v>187</v>
      </c>
      <c r="U11" s="200" t="s">
        <v>55</v>
      </c>
      <c r="V11" s="171">
        <f>0.078+0.522</f>
        <v>0.6</v>
      </c>
      <c r="W11" s="172">
        <f>0.722-0.522-0.012</f>
        <v>0.18799999999999994</v>
      </c>
      <c r="X11" s="198"/>
      <c r="Y11" s="18">
        <f t="shared" si="1"/>
        <v>0.78799999999999992</v>
      </c>
    </row>
    <row r="12" spans="2:25" x14ac:dyDescent="0.25">
      <c r="B12" s="97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43"/>
      <c r="S12" s="201" t="s">
        <v>49</v>
      </c>
      <c r="T12" s="170" t="s">
        <v>181</v>
      </c>
      <c r="U12" s="200" t="s">
        <v>55</v>
      </c>
      <c r="V12" s="173"/>
      <c r="W12" s="172">
        <v>0.27200000000000002</v>
      </c>
      <c r="X12" s="198"/>
      <c r="Y12" s="18">
        <f t="shared" si="1"/>
        <v>0.27200000000000002</v>
      </c>
    </row>
    <row r="13" spans="2:25" x14ac:dyDescent="0.25">
      <c r="B13" s="146" t="s">
        <v>69</v>
      </c>
      <c r="C13" s="191">
        <f>SUM(C6:C12)</f>
        <v>-2.9999999999974492E-4</v>
      </c>
      <c r="D13" s="191">
        <f>SUM(D6:D12)</f>
        <v>1.014</v>
      </c>
      <c r="E13" s="191">
        <f>SUM(E6:E12)</f>
        <v>0.13600000000000001</v>
      </c>
      <c r="F13" s="191">
        <f t="shared" ref="F13:H13" si="2">SUM(F6:F12)</f>
        <v>0.15</v>
      </c>
      <c r="G13" s="191">
        <f t="shared" si="2"/>
        <v>0.08</v>
      </c>
      <c r="H13" s="191">
        <f t="shared" si="2"/>
        <v>0.32500000000000001</v>
      </c>
      <c r="I13" s="191">
        <f>SUM(D13:H13)</f>
        <v>1.7049999999999998</v>
      </c>
      <c r="J13" s="11" t="s">
        <v>59</v>
      </c>
      <c r="K13" s="11"/>
      <c r="L13" s="11"/>
      <c r="M13" s="11"/>
      <c r="N13" s="11"/>
      <c r="O13" s="11"/>
      <c r="P13" s="11"/>
      <c r="Q13" s="143"/>
      <c r="S13" s="201" t="s">
        <v>49</v>
      </c>
      <c r="T13" s="170" t="s">
        <v>181</v>
      </c>
      <c r="U13" s="200" t="s">
        <v>56</v>
      </c>
      <c r="V13" s="171">
        <v>0.1363</v>
      </c>
      <c r="W13" s="173"/>
      <c r="X13" s="198"/>
    </row>
    <row r="14" spans="2:25" x14ac:dyDescent="0.25">
      <c r="B14" s="97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43"/>
      <c r="S14" s="202" t="s">
        <v>51</v>
      </c>
      <c r="T14" s="170" t="s">
        <v>189</v>
      </c>
      <c r="U14" s="200" t="s">
        <v>56</v>
      </c>
      <c r="V14" s="172">
        <v>8.1000000000000003E-2</v>
      </c>
      <c r="W14" s="173"/>
      <c r="X14" s="198"/>
    </row>
    <row r="15" spans="2:25" x14ac:dyDescent="0.25">
      <c r="B15" s="146" t="s">
        <v>57</v>
      </c>
      <c r="C15" s="135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43"/>
      <c r="S15" s="202" t="s">
        <v>52</v>
      </c>
      <c r="T15" s="170" t="s">
        <v>190</v>
      </c>
      <c r="U15" s="200" t="s">
        <v>56</v>
      </c>
      <c r="V15" s="172">
        <v>4.3999999999999997E-2</v>
      </c>
      <c r="W15" s="173"/>
      <c r="X15" s="198"/>
    </row>
    <row r="16" spans="2:25" x14ac:dyDescent="0.25">
      <c r="B16" s="97"/>
      <c r="C16" s="135" t="s">
        <v>168</v>
      </c>
      <c r="D16" s="135" t="s">
        <v>40</v>
      </c>
      <c r="E16" s="135" t="s">
        <v>41</v>
      </c>
      <c r="F16" s="135" t="s">
        <v>39</v>
      </c>
      <c r="G16" s="135" t="s">
        <v>42</v>
      </c>
      <c r="H16" s="135" t="s">
        <v>43</v>
      </c>
      <c r="I16" s="135" t="s">
        <v>17</v>
      </c>
      <c r="J16" s="11"/>
      <c r="K16" s="11"/>
      <c r="L16" s="11"/>
      <c r="M16" s="11"/>
      <c r="N16" s="11"/>
      <c r="O16" s="11"/>
      <c r="P16" s="11"/>
      <c r="Q16" s="143"/>
      <c r="S16" s="202" t="s">
        <v>53</v>
      </c>
      <c r="T16" s="170" t="s">
        <v>191</v>
      </c>
      <c r="U16" s="200" t="s">
        <v>56</v>
      </c>
      <c r="V16" s="172">
        <v>4.8000000000000001E-2</v>
      </c>
      <c r="W16" s="173"/>
      <c r="X16" s="143"/>
    </row>
    <row r="17" spans="2:24" ht="30" x14ac:dyDescent="0.25">
      <c r="B17" s="146" t="s">
        <v>68</v>
      </c>
      <c r="C17" s="191">
        <f>C13</f>
        <v>-2.9999999999974492E-4</v>
      </c>
      <c r="D17" s="186">
        <f>D13</f>
        <v>1.014</v>
      </c>
      <c r="E17" s="186">
        <f>E13</f>
        <v>0.13600000000000001</v>
      </c>
      <c r="F17" s="186">
        <f t="shared" ref="F17:H17" si="3">F13</f>
        <v>0.15</v>
      </c>
      <c r="G17" s="186">
        <f t="shared" si="3"/>
        <v>0.08</v>
      </c>
      <c r="H17" s="186">
        <f t="shared" si="3"/>
        <v>0.32500000000000001</v>
      </c>
      <c r="I17" s="186">
        <f>SUM(D17:H17)</f>
        <v>1.7049999999999998</v>
      </c>
      <c r="J17" s="11"/>
      <c r="K17" s="11"/>
      <c r="L17" s="11"/>
      <c r="M17" s="11"/>
      <c r="N17" s="11"/>
      <c r="O17" s="11"/>
      <c r="P17" s="11"/>
      <c r="Q17" s="143"/>
      <c r="S17" s="202" t="s">
        <v>54</v>
      </c>
      <c r="T17" s="170" t="s">
        <v>192</v>
      </c>
      <c r="U17" s="200" t="s">
        <v>56</v>
      </c>
      <c r="V17" s="172">
        <v>0.152</v>
      </c>
      <c r="W17" s="173"/>
      <c r="X17" s="143"/>
    </row>
    <row r="18" spans="2:24" x14ac:dyDescent="0.25">
      <c r="B18" s="97" t="s">
        <v>226</v>
      </c>
      <c r="C18" s="190">
        <f>-SUM(D18:H18)</f>
        <v>0.80499999999999994</v>
      </c>
      <c r="D18" s="189">
        <v>-0.34399999999999997</v>
      </c>
      <c r="E18" s="189">
        <v>-0.13600000000000001</v>
      </c>
      <c r="F18" s="189"/>
      <c r="G18" s="189"/>
      <c r="H18" s="189">
        <f>-0.325</f>
        <v>-0.32500000000000001</v>
      </c>
      <c r="I18" s="189">
        <f t="shared" ref="I18:I22" si="4">SUM(D18:H18)</f>
        <v>-0.80499999999999994</v>
      </c>
      <c r="J18" s="11"/>
      <c r="K18" s="11"/>
      <c r="L18" s="11"/>
      <c r="M18" s="11"/>
      <c r="N18" s="11"/>
      <c r="O18" s="11"/>
      <c r="P18" s="11"/>
      <c r="Q18" s="143"/>
      <c r="S18" s="97"/>
      <c r="T18" s="11"/>
      <c r="U18" s="11"/>
      <c r="V18" s="11"/>
      <c r="W18" s="11"/>
      <c r="X18" s="143"/>
    </row>
    <row r="19" spans="2:24" x14ac:dyDescent="0.25">
      <c r="B19" s="146" t="s">
        <v>71</v>
      </c>
      <c r="C19" s="191">
        <f>SUM(C17:C18)</f>
        <v>0.80470000000000019</v>
      </c>
      <c r="D19" s="189"/>
      <c r="E19" s="189"/>
      <c r="F19" s="189"/>
      <c r="G19" s="189"/>
      <c r="H19" s="189"/>
      <c r="I19" s="189">
        <f t="shared" si="4"/>
        <v>0</v>
      </c>
      <c r="J19" s="11"/>
      <c r="K19" s="11"/>
      <c r="L19" s="11"/>
      <c r="M19" s="11"/>
      <c r="N19" s="11"/>
      <c r="O19" s="11"/>
      <c r="P19" s="11"/>
      <c r="Q19" s="143"/>
      <c r="S19" s="97"/>
      <c r="T19" s="174" t="s">
        <v>206</v>
      </c>
      <c r="U19" s="135" t="s">
        <v>15</v>
      </c>
      <c r="V19" s="135" t="s">
        <v>16</v>
      </c>
      <c r="W19" s="135" t="s">
        <v>17</v>
      </c>
      <c r="X19" s="143"/>
    </row>
    <row r="20" spans="2:24" x14ac:dyDescent="0.25">
      <c r="B20" s="97"/>
      <c r="C20" s="11"/>
      <c r="D20" s="189"/>
      <c r="E20" s="189"/>
      <c r="F20" s="189"/>
      <c r="G20" s="189"/>
      <c r="H20" s="189"/>
      <c r="I20" s="189"/>
      <c r="J20" s="11"/>
      <c r="K20" s="11"/>
      <c r="L20" s="11"/>
      <c r="M20" s="11"/>
      <c r="N20" s="11"/>
      <c r="O20" s="11"/>
      <c r="P20" s="11"/>
      <c r="Q20" s="143"/>
      <c r="S20" s="97"/>
      <c r="T20" s="11" t="s">
        <v>204</v>
      </c>
      <c r="U20" s="173">
        <f>SUM(V7:V8)</f>
        <v>0.22999999999999998</v>
      </c>
      <c r="V20" s="173">
        <v>0</v>
      </c>
      <c r="W20" s="173">
        <f>SUM(U20:V20)</f>
        <v>0.22999999999999998</v>
      </c>
      <c r="X20" s="143"/>
    </row>
    <row r="21" spans="2:24" x14ac:dyDescent="0.25">
      <c r="B21" s="97" t="s">
        <v>58</v>
      </c>
      <c r="C21" s="189">
        <f>-SUM(W9:W12)</f>
        <v>-0.80499999999999994</v>
      </c>
      <c r="D21" s="189">
        <f>SUM(W9:W9,W10:W11)</f>
        <v>0.53299999999999992</v>
      </c>
      <c r="E21" s="189">
        <v>0.27200000000000002</v>
      </c>
      <c r="F21" s="189"/>
      <c r="G21" s="189"/>
      <c r="H21" s="189"/>
      <c r="I21" s="189">
        <f t="shared" si="4"/>
        <v>0.80499999999999994</v>
      </c>
      <c r="J21" s="11" t="s">
        <v>61</v>
      </c>
      <c r="K21" s="11"/>
      <c r="L21" s="11"/>
      <c r="M21" s="11"/>
      <c r="N21" s="11"/>
      <c r="O21" s="11"/>
      <c r="P21" s="11"/>
      <c r="Q21" s="143"/>
      <c r="S21" s="97"/>
      <c r="T21" s="11" t="s">
        <v>203</v>
      </c>
      <c r="U21" s="173">
        <f>SUM(V14:V17)+V13</f>
        <v>0.46129999999999993</v>
      </c>
      <c r="V21" s="173">
        <f>-U21</f>
        <v>-0.46129999999999993</v>
      </c>
      <c r="W21" s="173">
        <f t="shared" ref="W21:W22" si="5">SUM(U21:V21)</f>
        <v>0</v>
      </c>
      <c r="X21" s="143"/>
    </row>
    <row r="22" spans="2:24" x14ac:dyDescent="0.25">
      <c r="B22" s="97"/>
      <c r="C22" s="11"/>
      <c r="D22" s="189"/>
      <c r="E22" s="189"/>
      <c r="F22" s="189"/>
      <c r="G22" s="189"/>
      <c r="H22" s="189"/>
      <c r="I22" s="189">
        <f t="shared" si="4"/>
        <v>0</v>
      </c>
      <c r="J22" s="11"/>
      <c r="K22" s="11"/>
      <c r="L22" s="11"/>
      <c r="M22" s="11"/>
      <c r="N22" s="11"/>
      <c r="O22" s="11"/>
      <c r="P22" s="11"/>
      <c r="Q22" s="143"/>
      <c r="S22" s="97"/>
      <c r="T22" s="11" t="s">
        <v>202</v>
      </c>
      <c r="U22" s="173">
        <f>SUM(V9:V10,V11)</f>
        <v>0.66999999999999993</v>
      </c>
      <c r="V22" s="173">
        <f>SUM(W9:W12)</f>
        <v>0.80499999999999994</v>
      </c>
      <c r="W22" s="173">
        <f t="shared" si="5"/>
        <v>1.4749999999999999</v>
      </c>
      <c r="X22" s="143"/>
    </row>
    <row r="23" spans="2:24" x14ac:dyDescent="0.25">
      <c r="B23" s="146" t="s">
        <v>70</v>
      </c>
      <c r="C23" s="186">
        <f>SUM(C19:C22)</f>
        <v>-2.9999999999974492E-4</v>
      </c>
      <c r="D23" s="186">
        <f>SUM(D17:D22)</f>
        <v>1.2029999999999998</v>
      </c>
      <c r="E23" s="186">
        <f t="shared" ref="E23:I23" si="6">SUM(E17:E22)</f>
        <v>0.27200000000000002</v>
      </c>
      <c r="F23" s="186">
        <f t="shared" si="6"/>
        <v>0.15</v>
      </c>
      <c r="G23" s="186">
        <f t="shared" si="6"/>
        <v>0.08</v>
      </c>
      <c r="H23" s="186">
        <f t="shared" si="6"/>
        <v>0</v>
      </c>
      <c r="I23" s="186">
        <f t="shared" si="6"/>
        <v>1.7049999999999998</v>
      </c>
      <c r="J23" s="11" t="s">
        <v>59</v>
      </c>
      <c r="K23" s="11"/>
      <c r="L23" s="11"/>
      <c r="M23" s="11"/>
      <c r="N23" s="11"/>
      <c r="O23" s="11"/>
      <c r="P23" s="11"/>
      <c r="Q23" s="143"/>
      <c r="S23" s="97"/>
      <c r="T23" s="135" t="s">
        <v>17</v>
      </c>
      <c r="U23" s="203">
        <f>SUM(U20:U22)</f>
        <v>1.3613</v>
      </c>
      <c r="V23" s="203">
        <f t="shared" ref="V23:W23" si="7">SUM(V20:V22)</f>
        <v>0.34370000000000001</v>
      </c>
      <c r="W23" s="203">
        <f t="shared" si="7"/>
        <v>1.7049999999999998</v>
      </c>
      <c r="X23" s="143"/>
    </row>
    <row r="24" spans="2:24" ht="15.75" thickBot="1" x14ac:dyDescent="0.3">
      <c r="B24" s="148"/>
      <c r="C24" s="149"/>
      <c r="D24" s="192"/>
      <c r="E24" s="192"/>
      <c r="F24" s="192"/>
      <c r="G24" s="192"/>
      <c r="H24" s="192"/>
      <c r="I24" s="149"/>
      <c r="J24" s="149"/>
      <c r="K24" s="149"/>
      <c r="L24" s="149"/>
      <c r="M24" s="149"/>
      <c r="N24" s="149"/>
      <c r="O24" s="149"/>
      <c r="P24" s="149"/>
      <c r="Q24" s="150"/>
      <c r="S24" s="148"/>
      <c r="T24" s="149"/>
      <c r="U24" s="149"/>
      <c r="V24" s="149"/>
      <c r="W24" s="149"/>
      <c r="X24" s="150"/>
    </row>
    <row r="25" spans="2:24" ht="15.75" thickBot="1" x14ac:dyDescent="0.3"/>
    <row r="26" spans="2:24" x14ac:dyDescent="0.25">
      <c r="B26" s="184" t="s">
        <v>198</v>
      </c>
      <c r="C26" s="140"/>
      <c r="D26" s="140"/>
      <c r="E26" s="140"/>
      <c r="F26" s="141"/>
      <c r="H26" s="184" t="s">
        <v>225</v>
      </c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1"/>
    </row>
    <row r="27" spans="2:24" x14ac:dyDescent="0.25">
      <c r="B27" s="146" t="s">
        <v>230</v>
      </c>
      <c r="C27" s="11"/>
      <c r="D27" s="11"/>
      <c r="E27" s="11"/>
      <c r="F27" s="143"/>
      <c r="H27" s="97"/>
      <c r="I27" s="135" t="s">
        <v>239</v>
      </c>
      <c r="J27" s="11"/>
      <c r="K27" s="11"/>
      <c r="L27" s="11"/>
      <c r="M27" s="11"/>
      <c r="N27" s="11"/>
      <c r="O27" s="11"/>
      <c r="P27" s="135" t="s">
        <v>238</v>
      </c>
      <c r="Q27" s="11"/>
      <c r="R27" s="11"/>
      <c r="S27" s="147" t="s">
        <v>8</v>
      </c>
      <c r="T27" s="143"/>
    </row>
    <row r="28" spans="2:24" x14ac:dyDescent="0.25">
      <c r="B28" s="146" t="s">
        <v>179</v>
      </c>
      <c r="C28" s="135">
        <v>1.4770000000000001</v>
      </c>
      <c r="D28" s="11"/>
      <c r="E28" s="11"/>
      <c r="F28" s="143"/>
      <c r="H28" s="97"/>
      <c r="I28" s="11"/>
      <c r="J28" s="11"/>
      <c r="K28" s="11"/>
      <c r="L28" s="147" t="s">
        <v>8</v>
      </c>
      <c r="M28" s="11"/>
      <c r="N28" s="11"/>
      <c r="O28" s="11"/>
      <c r="P28" s="11" t="s">
        <v>231</v>
      </c>
      <c r="Q28" s="11"/>
      <c r="R28" s="11"/>
      <c r="S28" s="190">
        <f>SUM(D6,F6)</f>
        <v>1.5130000000000001</v>
      </c>
      <c r="T28" s="143" t="s">
        <v>233</v>
      </c>
    </row>
    <row r="29" spans="2:24" x14ac:dyDescent="0.25">
      <c r="B29" s="193" t="s">
        <v>73</v>
      </c>
      <c r="C29" s="11"/>
      <c r="D29" s="11"/>
      <c r="E29" s="11"/>
      <c r="F29" s="143"/>
      <c r="H29" s="97"/>
      <c r="I29" s="11" t="s">
        <v>228</v>
      </c>
      <c r="J29" s="11"/>
      <c r="K29" s="11"/>
      <c r="L29" s="11">
        <v>0.192</v>
      </c>
      <c r="M29" s="11" t="s">
        <v>41</v>
      </c>
      <c r="N29" s="11"/>
      <c r="O29" s="11"/>
      <c r="P29" s="11" t="s">
        <v>232</v>
      </c>
      <c r="Q29" s="11"/>
      <c r="R29" s="11"/>
      <c r="S29" s="204">
        <v>0.15</v>
      </c>
      <c r="T29" s="143" t="s">
        <v>39</v>
      </c>
    </row>
    <row r="30" spans="2:24" x14ac:dyDescent="0.25">
      <c r="B30" s="194" t="s">
        <v>170</v>
      </c>
      <c r="C30" s="190">
        <f>-E7-F7</f>
        <v>0.22800000000000001</v>
      </c>
      <c r="D30" s="11" t="s">
        <v>171</v>
      </c>
      <c r="E30" s="11"/>
      <c r="F30" s="143"/>
      <c r="H30" s="97"/>
      <c r="I30" s="11" t="s">
        <v>229</v>
      </c>
      <c r="J30" s="11"/>
      <c r="K30" s="11"/>
      <c r="L30" s="11">
        <v>1.4770000000000001</v>
      </c>
      <c r="M30" s="11" t="s">
        <v>40</v>
      </c>
      <c r="N30" s="11"/>
      <c r="O30" s="204"/>
      <c r="P30" s="11"/>
      <c r="Q30" s="11"/>
      <c r="R30" s="11"/>
      <c r="S30" s="204">
        <v>0.08</v>
      </c>
      <c r="T30" s="143" t="s">
        <v>42</v>
      </c>
    </row>
    <row r="31" spans="2:24" x14ac:dyDescent="0.25">
      <c r="B31" s="187" t="s">
        <v>172</v>
      </c>
      <c r="C31" s="190">
        <f>-SUM(F8:G8)</f>
        <v>-0.22999999999999998</v>
      </c>
      <c r="D31" s="11" t="s">
        <v>173</v>
      </c>
      <c r="E31" s="11"/>
      <c r="F31" s="143"/>
      <c r="H31" s="97"/>
      <c r="I31" s="11"/>
      <c r="J31" s="11"/>
      <c r="K31" s="11"/>
      <c r="L31" s="135">
        <f>SUM(L29:L30)</f>
        <v>1.669</v>
      </c>
      <c r="M31" s="11"/>
      <c r="N31" s="11"/>
      <c r="O31" s="11"/>
      <c r="P31" s="11"/>
      <c r="Q31" s="11"/>
      <c r="R31" s="11"/>
      <c r="S31" s="204">
        <v>0.32500000000000001</v>
      </c>
      <c r="T31" s="143" t="s">
        <v>43</v>
      </c>
    </row>
    <row r="32" spans="2:24" x14ac:dyDescent="0.25">
      <c r="B32" s="187" t="s">
        <v>174</v>
      </c>
      <c r="C32" s="190">
        <f>-H9</f>
        <v>-0.32500000000000001</v>
      </c>
      <c r="D32" s="11" t="s">
        <v>175</v>
      </c>
      <c r="E32" s="11"/>
      <c r="F32" s="143"/>
      <c r="H32" s="97"/>
      <c r="I32" s="11"/>
      <c r="J32" s="11"/>
      <c r="K32" s="11"/>
      <c r="L32" s="11"/>
      <c r="M32" s="11"/>
      <c r="N32" s="11"/>
      <c r="O32" s="204"/>
      <c r="P32" s="11"/>
      <c r="Q32" s="11"/>
      <c r="R32" s="11"/>
      <c r="S32" s="204">
        <f>L34</f>
        <v>1.014</v>
      </c>
      <c r="T32" s="143" t="s">
        <v>234</v>
      </c>
    </row>
    <row r="33" spans="2:21" x14ac:dyDescent="0.25">
      <c r="B33" s="187" t="s">
        <v>176</v>
      </c>
      <c r="C33" s="190">
        <f>-E10</f>
        <v>-0.13600000000000001</v>
      </c>
      <c r="D33" s="11" t="s">
        <v>177</v>
      </c>
      <c r="E33" s="11"/>
      <c r="F33" s="143"/>
      <c r="H33" s="97"/>
      <c r="I33" s="11" t="s">
        <v>224</v>
      </c>
      <c r="J33" s="11"/>
      <c r="K33" s="11"/>
      <c r="L33" s="11">
        <v>0.13600000000000001</v>
      </c>
      <c r="M33" s="11" t="s">
        <v>41</v>
      </c>
      <c r="N33" s="11"/>
      <c r="O33" s="11"/>
      <c r="P33" s="11" t="s">
        <v>17</v>
      </c>
      <c r="Q33" s="11"/>
      <c r="R33" s="11"/>
      <c r="S33" s="204">
        <f>SUM(S29:S32)</f>
        <v>1.569</v>
      </c>
      <c r="T33" s="143"/>
    </row>
    <row r="34" spans="2:21" x14ac:dyDescent="0.25">
      <c r="B34" s="97"/>
      <c r="C34" s="11"/>
      <c r="D34" s="11"/>
      <c r="E34" s="11"/>
      <c r="F34" s="143"/>
      <c r="H34" s="97"/>
      <c r="I34" s="11"/>
      <c r="J34" s="11"/>
      <c r="K34" s="11"/>
      <c r="L34" s="11">
        <v>1.014</v>
      </c>
      <c r="M34" s="11" t="s">
        <v>40</v>
      </c>
      <c r="N34" s="11"/>
      <c r="O34" s="11"/>
      <c r="P34" s="211" t="s">
        <v>235</v>
      </c>
      <c r="Q34" s="211"/>
      <c r="R34" s="211"/>
      <c r="S34" s="213">
        <f>S33-S28</f>
        <v>5.5999999999999828E-2</v>
      </c>
      <c r="T34" s="214" t="s">
        <v>240</v>
      </c>
    </row>
    <row r="35" spans="2:21" x14ac:dyDescent="0.25">
      <c r="B35" s="146" t="s">
        <v>178</v>
      </c>
      <c r="C35" s="135">
        <f>SUM(C28:C33)</f>
        <v>1.0140000000000002</v>
      </c>
      <c r="D35" s="11"/>
      <c r="E35" s="11"/>
      <c r="F35" s="143"/>
      <c r="H35" s="97"/>
      <c r="I35" s="11"/>
      <c r="J35" s="11"/>
      <c r="K35" s="11"/>
      <c r="L35" s="205">
        <f>SUM(L33:L34)</f>
        <v>1.1499999999999999</v>
      </c>
      <c r="M35" s="11"/>
      <c r="N35" s="11"/>
      <c r="O35" s="11"/>
      <c r="P35" s="11"/>
      <c r="Q35" s="11"/>
      <c r="R35" s="11"/>
      <c r="S35" s="11"/>
      <c r="T35" s="143"/>
    </row>
    <row r="36" spans="2:21" x14ac:dyDescent="0.25">
      <c r="B36" s="97"/>
      <c r="C36" s="11"/>
      <c r="D36" s="11"/>
      <c r="E36" s="11"/>
      <c r="F36" s="143"/>
      <c r="H36" s="97"/>
      <c r="I36" s="208" t="s">
        <v>241</v>
      </c>
      <c r="J36" s="208"/>
      <c r="K36" s="208"/>
      <c r="L36" s="208">
        <f>L31-L35</f>
        <v>0.51900000000000013</v>
      </c>
      <c r="M36" s="208"/>
      <c r="N36" s="11"/>
      <c r="O36" s="11"/>
      <c r="P36" s="11"/>
      <c r="Q36" s="11"/>
      <c r="R36" s="11"/>
      <c r="S36" s="11"/>
      <c r="T36" s="143"/>
    </row>
    <row r="37" spans="2:21" x14ac:dyDescent="0.25">
      <c r="B37" s="97"/>
      <c r="C37" s="11"/>
      <c r="D37" s="11"/>
      <c r="E37" s="11"/>
      <c r="F37" s="143"/>
      <c r="H37" s="97"/>
      <c r="I37" s="215" t="s">
        <v>245</v>
      </c>
      <c r="J37" s="215"/>
      <c r="K37" s="215"/>
      <c r="L37" s="216">
        <f>S34</f>
        <v>5.5999999999999828E-2</v>
      </c>
      <c r="M37" s="208"/>
      <c r="N37" s="11"/>
      <c r="O37" s="11"/>
      <c r="P37" s="11"/>
      <c r="Q37" s="11"/>
      <c r="R37" s="11"/>
      <c r="S37" s="11"/>
      <c r="T37" s="143"/>
    </row>
    <row r="38" spans="2:21" x14ac:dyDescent="0.25">
      <c r="B38" s="97"/>
      <c r="C38" s="11"/>
      <c r="D38" s="11"/>
      <c r="E38" s="11"/>
      <c r="F38" s="143"/>
      <c r="H38" s="97"/>
      <c r="I38" s="211" t="s">
        <v>242</v>
      </c>
      <c r="J38" s="212"/>
      <c r="K38" s="212"/>
      <c r="L38" s="213">
        <f>L36-S34</f>
        <v>0.4630000000000003</v>
      </c>
      <c r="M38" s="211" t="s">
        <v>244</v>
      </c>
      <c r="N38" s="212"/>
      <c r="O38" s="212"/>
      <c r="P38" s="212"/>
      <c r="Q38" s="212"/>
      <c r="R38" s="11"/>
      <c r="S38" s="11"/>
      <c r="T38" s="143"/>
    </row>
    <row r="39" spans="2:21" x14ac:dyDescent="0.25">
      <c r="B39" s="97"/>
      <c r="C39" s="11"/>
      <c r="D39" s="11"/>
      <c r="E39" s="11"/>
      <c r="F39" s="143"/>
      <c r="H39" s="97"/>
      <c r="I39" s="11"/>
      <c r="J39" s="11"/>
      <c r="K39" s="11"/>
      <c r="L39" s="209"/>
      <c r="M39" s="11"/>
      <c r="N39" s="11"/>
      <c r="O39" s="11"/>
      <c r="P39" s="11"/>
      <c r="Q39" s="11"/>
      <c r="R39" s="11"/>
      <c r="S39" s="11"/>
      <c r="T39" s="143"/>
    </row>
    <row r="40" spans="2:21" x14ac:dyDescent="0.25">
      <c r="B40" s="146" t="s">
        <v>194</v>
      </c>
      <c r="C40" s="135">
        <f>C35</f>
        <v>1.0140000000000002</v>
      </c>
      <c r="D40" s="11"/>
      <c r="E40" s="11"/>
      <c r="F40" s="143"/>
      <c r="H40" s="97"/>
      <c r="I40" s="135" t="s">
        <v>227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206"/>
      <c r="U40" s="164"/>
    </row>
    <row r="41" spans="2:21" x14ac:dyDescent="0.25">
      <c r="B41" s="193" t="s">
        <v>73</v>
      </c>
      <c r="C41" s="11"/>
      <c r="D41" s="11"/>
      <c r="E41" s="11"/>
      <c r="F41" s="143"/>
      <c r="H41" s="97"/>
      <c r="I41" s="11" t="s">
        <v>219</v>
      </c>
      <c r="J41" s="11"/>
      <c r="K41" s="11"/>
      <c r="L41" s="11">
        <v>3.5999999999999997E-2</v>
      </c>
      <c r="M41" s="11" t="s">
        <v>243</v>
      </c>
      <c r="N41" s="11"/>
      <c r="O41" s="11"/>
      <c r="P41" s="11"/>
      <c r="Q41" s="11"/>
      <c r="R41" s="11"/>
      <c r="S41" s="11"/>
      <c r="T41" s="206"/>
      <c r="U41" s="164"/>
    </row>
    <row r="42" spans="2:21" x14ac:dyDescent="0.25">
      <c r="B42" s="97" t="s">
        <v>196</v>
      </c>
      <c r="C42" s="190">
        <f>-SUM(E18:H18)</f>
        <v>0.46100000000000002</v>
      </c>
      <c r="D42" s="11" t="s">
        <v>199</v>
      </c>
      <c r="E42" s="11"/>
      <c r="F42" s="143"/>
      <c r="H42" s="97"/>
      <c r="I42" s="11" t="s">
        <v>221</v>
      </c>
      <c r="J42" s="11"/>
      <c r="K42" s="11"/>
      <c r="L42" s="190">
        <f>L38</f>
        <v>0.4630000000000003</v>
      </c>
      <c r="M42" s="11" t="s">
        <v>243</v>
      </c>
      <c r="N42" s="11"/>
      <c r="O42" s="11"/>
      <c r="P42" s="11"/>
      <c r="Q42" s="11"/>
      <c r="R42" s="11"/>
      <c r="S42" s="11"/>
      <c r="T42" s="206"/>
      <c r="U42" s="164"/>
    </row>
    <row r="43" spans="2:21" x14ac:dyDescent="0.25">
      <c r="B43" s="97" t="s">
        <v>195</v>
      </c>
      <c r="C43" s="190">
        <f>-E21</f>
        <v>-0.27200000000000002</v>
      </c>
      <c r="D43" s="11" t="s">
        <v>200</v>
      </c>
      <c r="E43" s="11"/>
      <c r="F43" s="143"/>
      <c r="H43" s="97"/>
      <c r="I43" s="11" t="s">
        <v>220</v>
      </c>
      <c r="J43" s="11"/>
      <c r="K43" s="11"/>
      <c r="L43" s="11">
        <v>0.32500000000000001</v>
      </c>
      <c r="M43" s="11" t="s">
        <v>222</v>
      </c>
      <c r="N43" s="11"/>
      <c r="O43" s="11"/>
      <c r="P43" s="11"/>
      <c r="Q43" s="11"/>
      <c r="R43" s="11"/>
      <c r="S43" s="11"/>
      <c r="T43" s="206"/>
      <c r="U43" s="164"/>
    </row>
    <row r="44" spans="2:21" x14ac:dyDescent="0.25">
      <c r="B44" s="97"/>
      <c r="C44" s="190"/>
      <c r="D44" s="11"/>
      <c r="E44" s="11"/>
      <c r="F44" s="143"/>
      <c r="H44" s="97"/>
      <c r="I44" s="11"/>
      <c r="J44" s="11"/>
      <c r="K44" s="11"/>
      <c r="L44" s="204">
        <v>0.15</v>
      </c>
      <c r="M44" s="11" t="s">
        <v>223</v>
      </c>
      <c r="N44" s="11"/>
      <c r="O44" s="11"/>
      <c r="P44" s="11"/>
      <c r="Q44" s="11"/>
      <c r="R44" s="11"/>
      <c r="S44" s="11"/>
      <c r="T44" s="206"/>
      <c r="U44" s="164"/>
    </row>
    <row r="45" spans="2:21" ht="15.75" thickBot="1" x14ac:dyDescent="0.3">
      <c r="B45" s="195" t="s">
        <v>197</v>
      </c>
      <c r="C45" s="196">
        <f>SUM(C40:C43)</f>
        <v>1.2030000000000003</v>
      </c>
      <c r="D45" s="149"/>
      <c r="E45" s="149"/>
      <c r="F45" s="150"/>
      <c r="H45" s="148"/>
      <c r="I45" s="149" t="s">
        <v>236</v>
      </c>
      <c r="J45" s="149"/>
      <c r="K45" s="149"/>
      <c r="L45" s="210">
        <v>0.08</v>
      </c>
      <c r="M45" s="149" t="s">
        <v>237</v>
      </c>
      <c r="N45" s="149"/>
      <c r="O45" s="149"/>
      <c r="P45" s="149"/>
      <c r="Q45" s="149"/>
      <c r="R45" s="149"/>
      <c r="S45" s="149"/>
      <c r="T45" s="207"/>
      <c r="U45" s="164"/>
    </row>
    <row r="46" spans="2:21" x14ac:dyDescent="0.25">
      <c r="S46" s="10" t="s">
        <v>249</v>
      </c>
      <c r="T46" s="164"/>
      <c r="U46" s="217" t="s">
        <v>246</v>
      </c>
    </row>
    <row r="47" spans="2:21" x14ac:dyDescent="0.25">
      <c r="S47" t="s">
        <v>247</v>
      </c>
      <c r="T47" s="164"/>
      <c r="U47" s="221">
        <v>1.5129999999999999</v>
      </c>
    </row>
    <row r="48" spans="2:21" x14ac:dyDescent="0.25">
      <c r="S48" t="s">
        <v>248</v>
      </c>
      <c r="T48" s="164"/>
      <c r="U48" s="221">
        <v>0.192</v>
      </c>
    </row>
    <row r="49" spans="19:21" x14ac:dyDescent="0.25">
      <c r="S49" s="10" t="s">
        <v>250</v>
      </c>
      <c r="T49" s="220"/>
      <c r="U49" s="222">
        <f>SUM(U47:U48)</f>
        <v>1.7049999999999998</v>
      </c>
    </row>
    <row r="51" spans="19:21" x14ac:dyDescent="0.25">
      <c r="S51" s="10" t="s">
        <v>251</v>
      </c>
    </row>
    <row r="52" spans="19:21" x14ac:dyDescent="0.25">
      <c r="S52" s="146" t="s">
        <v>185</v>
      </c>
      <c r="T52" s="135" t="s">
        <v>184</v>
      </c>
      <c r="U52" s="217" t="s">
        <v>246</v>
      </c>
    </row>
    <row r="53" spans="19:21" x14ac:dyDescent="0.25">
      <c r="S53" s="199" t="s">
        <v>39</v>
      </c>
      <c r="T53" s="200" t="s">
        <v>183</v>
      </c>
      <c r="U53" s="18">
        <v>0.15</v>
      </c>
    </row>
    <row r="54" spans="19:21" x14ac:dyDescent="0.25">
      <c r="S54" s="199" t="s">
        <v>42</v>
      </c>
      <c r="T54" s="200" t="s">
        <v>182</v>
      </c>
      <c r="U54" s="18">
        <v>0.08</v>
      </c>
    </row>
    <row r="55" spans="19:21" x14ac:dyDescent="0.25">
      <c r="S55" s="201" t="s">
        <v>46</v>
      </c>
      <c r="T55" s="170" t="s">
        <v>186</v>
      </c>
      <c r="U55" s="18">
        <v>0.23</v>
      </c>
    </row>
    <row r="56" spans="19:21" x14ac:dyDescent="0.25">
      <c r="S56" s="202" t="s">
        <v>44</v>
      </c>
      <c r="T56" s="170" t="s">
        <v>188</v>
      </c>
      <c r="U56" s="18">
        <v>0.185</v>
      </c>
    </row>
    <row r="57" spans="19:21" x14ac:dyDescent="0.25">
      <c r="S57" s="201" t="s">
        <v>50</v>
      </c>
      <c r="T57" s="170" t="s">
        <v>187</v>
      </c>
      <c r="U57" s="18">
        <v>0.78799999999999992</v>
      </c>
    </row>
    <row r="58" spans="19:21" x14ac:dyDescent="0.25">
      <c r="S58" s="201" t="s">
        <v>49</v>
      </c>
      <c r="T58" s="170" t="s">
        <v>181</v>
      </c>
      <c r="U58" s="18">
        <v>0.27200000000000002</v>
      </c>
    </row>
    <row r="59" spans="19:21" x14ac:dyDescent="0.25">
      <c r="S59" s="218" t="s">
        <v>252</v>
      </c>
      <c r="T59" s="10"/>
      <c r="U59" s="219">
        <f>SUM(U53:U58)</f>
        <v>1.7049999999999998</v>
      </c>
    </row>
  </sheetData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workbookViewId="0">
      <selection activeCell="S46" sqref="S46:U59"/>
    </sheetView>
  </sheetViews>
  <sheetFormatPr defaultRowHeight="15" x14ac:dyDescent="0.25"/>
  <cols>
    <col min="1" max="1" width="71.85546875" customWidth="1"/>
    <col min="2" max="10" width="10.42578125" customWidth="1"/>
    <col min="257" max="257" width="69.42578125" customWidth="1"/>
    <col min="258" max="266" width="10.42578125" customWidth="1"/>
    <col min="513" max="513" width="69.42578125" customWidth="1"/>
    <col min="514" max="522" width="10.42578125" customWidth="1"/>
    <col min="769" max="769" width="69.42578125" customWidth="1"/>
    <col min="770" max="778" width="10.42578125" customWidth="1"/>
    <col min="1025" max="1025" width="69.42578125" customWidth="1"/>
    <col min="1026" max="1034" width="10.42578125" customWidth="1"/>
    <col min="1281" max="1281" width="69.42578125" customWidth="1"/>
    <col min="1282" max="1290" width="10.42578125" customWidth="1"/>
    <col min="1537" max="1537" width="69.42578125" customWidth="1"/>
    <col min="1538" max="1546" width="10.42578125" customWidth="1"/>
    <col min="1793" max="1793" width="69.42578125" customWidth="1"/>
    <col min="1794" max="1802" width="10.42578125" customWidth="1"/>
    <col min="2049" max="2049" width="69.42578125" customWidth="1"/>
    <col min="2050" max="2058" width="10.42578125" customWidth="1"/>
    <col min="2305" max="2305" width="69.42578125" customWidth="1"/>
    <col min="2306" max="2314" width="10.42578125" customWidth="1"/>
    <col min="2561" max="2561" width="69.42578125" customWidth="1"/>
    <col min="2562" max="2570" width="10.42578125" customWidth="1"/>
    <col min="2817" max="2817" width="69.42578125" customWidth="1"/>
    <col min="2818" max="2826" width="10.42578125" customWidth="1"/>
    <col min="3073" max="3073" width="69.42578125" customWidth="1"/>
    <col min="3074" max="3082" width="10.42578125" customWidth="1"/>
    <col min="3329" max="3329" width="69.42578125" customWidth="1"/>
    <col min="3330" max="3338" width="10.42578125" customWidth="1"/>
    <col min="3585" max="3585" width="69.42578125" customWidth="1"/>
    <col min="3586" max="3594" width="10.42578125" customWidth="1"/>
    <col min="3841" max="3841" width="69.42578125" customWidth="1"/>
    <col min="3842" max="3850" width="10.42578125" customWidth="1"/>
    <col min="4097" max="4097" width="69.42578125" customWidth="1"/>
    <col min="4098" max="4106" width="10.42578125" customWidth="1"/>
    <col min="4353" max="4353" width="69.42578125" customWidth="1"/>
    <col min="4354" max="4362" width="10.42578125" customWidth="1"/>
    <col min="4609" max="4609" width="69.42578125" customWidth="1"/>
    <col min="4610" max="4618" width="10.42578125" customWidth="1"/>
    <col min="4865" max="4865" width="69.42578125" customWidth="1"/>
    <col min="4866" max="4874" width="10.42578125" customWidth="1"/>
    <col min="5121" max="5121" width="69.42578125" customWidth="1"/>
    <col min="5122" max="5130" width="10.42578125" customWidth="1"/>
    <col min="5377" max="5377" width="69.42578125" customWidth="1"/>
    <col min="5378" max="5386" width="10.42578125" customWidth="1"/>
    <col min="5633" max="5633" width="69.42578125" customWidth="1"/>
    <col min="5634" max="5642" width="10.42578125" customWidth="1"/>
    <col min="5889" max="5889" width="69.42578125" customWidth="1"/>
    <col min="5890" max="5898" width="10.42578125" customWidth="1"/>
    <col min="6145" max="6145" width="69.42578125" customWidth="1"/>
    <col min="6146" max="6154" width="10.42578125" customWidth="1"/>
    <col min="6401" max="6401" width="69.42578125" customWidth="1"/>
    <col min="6402" max="6410" width="10.42578125" customWidth="1"/>
    <col min="6657" max="6657" width="69.42578125" customWidth="1"/>
    <col min="6658" max="6666" width="10.42578125" customWidth="1"/>
    <col min="6913" max="6913" width="69.42578125" customWidth="1"/>
    <col min="6914" max="6922" width="10.42578125" customWidth="1"/>
    <col min="7169" max="7169" width="69.42578125" customWidth="1"/>
    <col min="7170" max="7178" width="10.42578125" customWidth="1"/>
    <col min="7425" max="7425" width="69.42578125" customWidth="1"/>
    <col min="7426" max="7434" width="10.42578125" customWidth="1"/>
    <col min="7681" max="7681" width="69.42578125" customWidth="1"/>
    <col min="7682" max="7690" width="10.42578125" customWidth="1"/>
    <col min="7937" max="7937" width="69.42578125" customWidth="1"/>
    <col min="7938" max="7946" width="10.42578125" customWidth="1"/>
    <col min="8193" max="8193" width="69.42578125" customWidth="1"/>
    <col min="8194" max="8202" width="10.42578125" customWidth="1"/>
    <col min="8449" max="8449" width="69.42578125" customWidth="1"/>
    <col min="8450" max="8458" width="10.42578125" customWidth="1"/>
    <col min="8705" max="8705" width="69.42578125" customWidth="1"/>
    <col min="8706" max="8714" width="10.42578125" customWidth="1"/>
    <col min="8961" max="8961" width="69.42578125" customWidth="1"/>
    <col min="8962" max="8970" width="10.42578125" customWidth="1"/>
    <col min="9217" max="9217" width="69.42578125" customWidth="1"/>
    <col min="9218" max="9226" width="10.42578125" customWidth="1"/>
    <col min="9473" max="9473" width="69.42578125" customWidth="1"/>
    <col min="9474" max="9482" width="10.42578125" customWidth="1"/>
    <col min="9729" max="9729" width="69.42578125" customWidth="1"/>
    <col min="9730" max="9738" width="10.42578125" customWidth="1"/>
    <col min="9985" max="9985" width="69.42578125" customWidth="1"/>
    <col min="9986" max="9994" width="10.42578125" customWidth="1"/>
    <col min="10241" max="10241" width="69.42578125" customWidth="1"/>
    <col min="10242" max="10250" width="10.42578125" customWidth="1"/>
    <col min="10497" max="10497" width="69.42578125" customWidth="1"/>
    <col min="10498" max="10506" width="10.42578125" customWidth="1"/>
    <col min="10753" max="10753" width="69.42578125" customWidth="1"/>
    <col min="10754" max="10762" width="10.42578125" customWidth="1"/>
    <col min="11009" max="11009" width="69.42578125" customWidth="1"/>
    <col min="11010" max="11018" width="10.42578125" customWidth="1"/>
    <col min="11265" max="11265" width="69.42578125" customWidth="1"/>
    <col min="11266" max="11274" width="10.42578125" customWidth="1"/>
    <col min="11521" max="11521" width="69.42578125" customWidth="1"/>
    <col min="11522" max="11530" width="10.42578125" customWidth="1"/>
    <col min="11777" max="11777" width="69.42578125" customWidth="1"/>
    <col min="11778" max="11786" width="10.42578125" customWidth="1"/>
    <col min="12033" max="12033" width="69.42578125" customWidth="1"/>
    <col min="12034" max="12042" width="10.42578125" customWidth="1"/>
    <col min="12289" max="12289" width="69.42578125" customWidth="1"/>
    <col min="12290" max="12298" width="10.42578125" customWidth="1"/>
    <col min="12545" max="12545" width="69.42578125" customWidth="1"/>
    <col min="12546" max="12554" width="10.42578125" customWidth="1"/>
    <col min="12801" max="12801" width="69.42578125" customWidth="1"/>
    <col min="12802" max="12810" width="10.42578125" customWidth="1"/>
    <col min="13057" max="13057" width="69.42578125" customWidth="1"/>
    <col min="13058" max="13066" width="10.42578125" customWidth="1"/>
    <col min="13313" max="13313" width="69.42578125" customWidth="1"/>
    <col min="13314" max="13322" width="10.42578125" customWidth="1"/>
    <col min="13569" max="13569" width="69.42578125" customWidth="1"/>
    <col min="13570" max="13578" width="10.42578125" customWidth="1"/>
    <col min="13825" max="13825" width="69.42578125" customWidth="1"/>
    <col min="13826" max="13834" width="10.42578125" customWidth="1"/>
    <col min="14081" max="14081" width="69.42578125" customWidth="1"/>
    <col min="14082" max="14090" width="10.42578125" customWidth="1"/>
    <col min="14337" max="14337" width="69.42578125" customWidth="1"/>
    <col min="14338" max="14346" width="10.42578125" customWidth="1"/>
    <col min="14593" max="14593" width="69.42578125" customWidth="1"/>
    <col min="14594" max="14602" width="10.42578125" customWidth="1"/>
    <col min="14849" max="14849" width="69.42578125" customWidth="1"/>
    <col min="14850" max="14858" width="10.42578125" customWidth="1"/>
    <col min="15105" max="15105" width="69.42578125" customWidth="1"/>
    <col min="15106" max="15114" width="10.42578125" customWidth="1"/>
    <col min="15361" max="15361" width="69.42578125" customWidth="1"/>
    <col min="15362" max="15370" width="10.42578125" customWidth="1"/>
    <col min="15617" max="15617" width="69.42578125" customWidth="1"/>
    <col min="15618" max="15626" width="10.42578125" customWidth="1"/>
    <col min="15873" max="15873" width="69.42578125" customWidth="1"/>
    <col min="15874" max="15882" width="10.42578125" customWidth="1"/>
    <col min="16129" max="16129" width="69.42578125" customWidth="1"/>
    <col min="16130" max="16138" width="10.42578125" customWidth="1"/>
  </cols>
  <sheetData>
    <row r="1" spans="1:11" x14ac:dyDescent="0.25">
      <c r="A1" s="10" t="s">
        <v>210</v>
      </c>
    </row>
    <row r="2" spans="1:11" x14ac:dyDescent="0.25">
      <c r="A2" t="s">
        <v>211</v>
      </c>
    </row>
    <row r="3" spans="1:11" x14ac:dyDescent="0.25">
      <c r="A3" t="s">
        <v>216</v>
      </c>
    </row>
    <row r="4" spans="1:11" ht="15.75" thickBot="1" x14ac:dyDescent="0.3"/>
    <row r="5" spans="1:11" x14ac:dyDescent="0.25">
      <c r="A5" s="391" t="s">
        <v>217</v>
      </c>
      <c r="B5" s="361" t="s">
        <v>29</v>
      </c>
      <c r="C5" s="361" t="s">
        <v>0</v>
      </c>
      <c r="D5" s="361" t="s">
        <v>1</v>
      </c>
      <c r="E5" s="366" t="s">
        <v>2</v>
      </c>
      <c r="F5" s="361" t="s">
        <v>65</v>
      </c>
      <c r="G5" s="366" t="s">
        <v>4</v>
      </c>
      <c r="H5" s="366" t="s">
        <v>5</v>
      </c>
      <c r="I5" s="361" t="s">
        <v>154</v>
      </c>
      <c r="J5" s="2" t="s">
        <v>6</v>
      </c>
      <c r="K5" s="391" t="s">
        <v>218</v>
      </c>
    </row>
    <row r="6" spans="1:11" ht="30.75" thickBot="1" x14ac:dyDescent="0.3">
      <c r="A6" s="392" t="s">
        <v>217</v>
      </c>
      <c r="B6" s="362"/>
      <c r="C6" s="362"/>
      <c r="D6" s="362"/>
      <c r="E6" s="367"/>
      <c r="F6" s="362"/>
      <c r="G6" s="367"/>
      <c r="H6" s="367"/>
      <c r="I6" s="385"/>
      <c r="J6" s="3" t="s">
        <v>7</v>
      </c>
      <c r="K6" s="393" t="s">
        <v>217</v>
      </c>
    </row>
    <row r="7" spans="1:11" x14ac:dyDescent="0.25">
      <c r="A7" s="22" t="s">
        <v>167</v>
      </c>
      <c r="B7" s="23">
        <v>2.3598000000000001E-2</v>
      </c>
      <c r="C7" s="23">
        <v>3.8560275568210102E-2</v>
      </c>
      <c r="D7" s="23">
        <v>5.9533724252590924E-2</v>
      </c>
      <c r="E7" s="23">
        <v>2.7649088574073888E-2</v>
      </c>
      <c r="F7" s="23">
        <v>2.9743557599999998E-2</v>
      </c>
      <c r="G7" s="23">
        <v>3.1691698109450758E-2</v>
      </c>
      <c r="H7" s="23">
        <v>1.7223650283233943E-2</v>
      </c>
      <c r="I7" s="26"/>
      <c r="J7" s="23">
        <v>0.22800000000000001</v>
      </c>
      <c r="K7" s="26" t="s">
        <v>40</v>
      </c>
    </row>
    <row r="8" spans="1:11" x14ac:dyDescent="0.25">
      <c r="A8" s="22" t="s">
        <v>30</v>
      </c>
      <c r="B8" s="23">
        <v>-2.3804999999999996E-2</v>
      </c>
      <c r="C8" s="23">
        <v>-3.8898523599510189E-2</v>
      </c>
      <c r="D8" s="23">
        <v>-6.0055949903929429E-2</v>
      </c>
      <c r="E8" s="23">
        <v>-2.7891624438758745E-2</v>
      </c>
      <c r="F8" s="23">
        <v>-3.0004465999999997E-2</v>
      </c>
      <c r="G8" s="23">
        <v>-3.1969695461288042E-2</v>
      </c>
      <c r="H8" s="23">
        <v>-1.7374734934841259E-2</v>
      </c>
      <c r="I8" s="26"/>
      <c r="J8" s="23">
        <v>-0.22999999999999998</v>
      </c>
      <c r="K8" s="26" t="s">
        <v>40</v>
      </c>
    </row>
    <row r="9" spans="1:11" x14ac:dyDescent="0.25">
      <c r="A9" s="22" t="s">
        <v>31</v>
      </c>
      <c r="B9" s="23">
        <v>-3.3637500000000008E-2</v>
      </c>
      <c r="C9" s="23">
        <v>-5.4965305086264411E-2</v>
      </c>
      <c r="D9" s="23">
        <v>-8.4861668342509008E-2</v>
      </c>
      <c r="E9" s="23">
        <v>-3.9412078011289542E-2</v>
      </c>
      <c r="F9" s="23">
        <v>-4.2397615000000007E-2</v>
      </c>
      <c r="G9" s="23">
        <v>-4.5174569673559206E-2</v>
      </c>
      <c r="H9" s="23">
        <v>-2.4551255886188741E-2</v>
      </c>
      <c r="I9" s="26"/>
      <c r="J9" s="23">
        <v>-0.32500000000000007</v>
      </c>
      <c r="K9" s="26" t="s">
        <v>40</v>
      </c>
    </row>
    <row r="10" spans="1:11" x14ac:dyDescent="0.25">
      <c r="A10" s="22" t="s">
        <v>162</v>
      </c>
      <c r="B10" s="23">
        <v>-6.6032999999999994E-2</v>
      </c>
      <c r="C10" s="23">
        <v>-0.10790112198472827</v>
      </c>
      <c r="D10" s="23">
        <v>-0.16658998277698686</v>
      </c>
      <c r="E10" s="23">
        <v>-7.7368940834469907E-2</v>
      </c>
      <c r="F10" s="23">
        <v>-8.3229779599999998E-2</v>
      </c>
      <c r="G10" s="23">
        <v>-8.8681155236094669E-2</v>
      </c>
      <c r="H10" s="23">
        <v>-4.819600386273358E-2</v>
      </c>
      <c r="I10" s="26"/>
      <c r="J10" s="23">
        <v>-0.13600000000000001</v>
      </c>
      <c r="K10" s="26" t="s">
        <v>40</v>
      </c>
    </row>
    <row r="11" spans="1:11" x14ac:dyDescent="0.25">
      <c r="A11" s="22" t="s">
        <v>24</v>
      </c>
      <c r="B11" s="24">
        <v>9.9670499999999995E-2</v>
      </c>
      <c r="C11" s="24">
        <v>0.16286642707099269</v>
      </c>
      <c r="D11" s="24">
        <v>0.25145165111949586</v>
      </c>
      <c r="E11" s="24">
        <v>0.11678101884575945</v>
      </c>
      <c r="F11" s="24">
        <v>0.1256273946</v>
      </c>
      <c r="G11" s="24">
        <v>0.13385572490965386</v>
      </c>
      <c r="H11" s="24">
        <v>7.2747259748922322E-2</v>
      </c>
      <c r="I11" s="26"/>
      <c r="J11" s="24">
        <v>0.46100000000000008</v>
      </c>
      <c r="K11" s="26" t="s">
        <v>40</v>
      </c>
    </row>
    <row r="12" spans="1:11" x14ac:dyDescent="0.25">
      <c r="A12" s="22" t="s">
        <v>201</v>
      </c>
      <c r="B12" s="23">
        <v>-2.8152E-2</v>
      </c>
      <c r="C12" s="23">
        <v>-4.6001732256812054E-2</v>
      </c>
      <c r="D12" s="23">
        <v>-7.1022688582038293E-2</v>
      </c>
      <c r="E12" s="23">
        <v>-3.2984877597140777E-2</v>
      </c>
      <c r="F12" s="23">
        <v>-3.5483542399999998E-2</v>
      </c>
      <c r="G12" s="23">
        <v>-3.780763984987108E-2</v>
      </c>
      <c r="H12" s="23">
        <v>-2.0547512618594881E-2</v>
      </c>
      <c r="I12" s="26"/>
      <c r="J12" s="23">
        <v>-0.27200000000000002</v>
      </c>
      <c r="K12" s="26" t="s">
        <v>40</v>
      </c>
    </row>
    <row r="13" spans="1:11" x14ac:dyDescent="0.25">
      <c r="A13" s="26" t="s">
        <v>164</v>
      </c>
      <c r="B13" s="24">
        <v>-3.6076885100799101E-2</v>
      </c>
      <c r="C13" s="24">
        <v>-2.3103524967900749E-2</v>
      </c>
      <c r="D13" s="24">
        <v>-3.8447996358206317E-2</v>
      </c>
      <c r="E13" s="24">
        <v>-3.6485118970583229E-2</v>
      </c>
      <c r="F13" s="24">
        <v>-1.5997588939339214E-2</v>
      </c>
      <c r="G13" s="24">
        <v>-2.5462136730005854E-2</v>
      </c>
      <c r="H13" s="24">
        <v>-1.1124537633165172E-2</v>
      </c>
      <c r="I13" s="24">
        <v>-5.3022113000003477E-3</v>
      </c>
      <c r="J13" s="24">
        <v>-0.192</v>
      </c>
      <c r="K13" s="26" t="s">
        <v>41</v>
      </c>
    </row>
    <row r="14" spans="1:11" x14ac:dyDescent="0.25">
      <c r="A14" s="26" t="s">
        <v>163</v>
      </c>
      <c r="B14" s="24">
        <v>2.55544602797327E-2</v>
      </c>
      <c r="C14" s="24">
        <v>1.6364996852263031E-2</v>
      </c>
      <c r="D14" s="24">
        <v>2.7233997420396141E-2</v>
      </c>
      <c r="E14" s="24">
        <v>2.5843625937496454E-2</v>
      </c>
      <c r="F14" s="24">
        <v>1.1331625498698612E-2</v>
      </c>
      <c r="G14" s="24">
        <v>1.8035680183754146E-2</v>
      </c>
      <c r="H14" s="24">
        <v>7.8798808234919974E-3</v>
      </c>
      <c r="I14" s="24">
        <v>3.7557330041669132E-3</v>
      </c>
      <c r="J14" s="24">
        <v>0.13600000000000001</v>
      </c>
      <c r="K14" s="26" t="s">
        <v>41</v>
      </c>
    </row>
    <row r="15" spans="1:11" x14ac:dyDescent="0.25">
      <c r="A15" s="26" t="s">
        <v>165</v>
      </c>
      <c r="B15" s="24">
        <v>-2.55544602797327E-2</v>
      </c>
      <c r="C15" s="24">
        <v>-1.6364996852263031E-2</v>
      </c>
      <c r="D15" s="24">
        <v>-2.7233997420396141E-2</v>
      </c>
      <c r="E15" s="24">
        <v>-2.5843625937496454E-2</v>
      </c>
      <c r="F15" s="24">
        <v>-1.1331625498698612E-2</v>
      </c>
      <c r="G15" s="24">
        <v>-1.8035680183754146E-2</v>
      </c>
      <c r="H15" s="24">
        <v>-7.8798808234919974E-3</v>
      </c>
      <c r="I15" s="24">
        <v>-3.7557330041669132E-3</v>
      </c>
      <c r="J15" s="24">
        <v>-0.13600000000000001</v>
      </c>
      <c r="K15" s="26" t="s">
        <v>41</v>
      </c>
    </row>
    <row r="16" spans="1:11" x14ac:dyDescent="0.25">
      <c r="A16" s="26" t="s">
        <v>166</v>
      </c>
      <c r="B16" s="24">
        <v>5.11089205594654E-2</v>
      </c>
      <c r="C16" s="24">
        <v>3.2729993704526061E-2</v>
      </c>
      <c r="D16" s="24">
        <v>5.4467994840792282E-2</v>
      </c>
      <c r="E16" s="24">
        <v>5.1687251874992908E-2</v>
      </c>
      <c r="F16" s="24">
        <v>2.2663250997397223E-2</v>
      </c>
      <c r="G16" s="24">
        <v>3.6071360367508291E-2</v>
      </c>
      <c r="H16" s="24">
        <v>1.5759761646983995E-2</v>
      </c>
      <c r="I16" s="24">
        <v>7.5114660083338263E-3</v>
      </c>
      <c r="J16" s="24">
        <v>0.27200000000000002</v>
      </c>
      <c r="K16" s="26" t="s">
        <v>41</v>
      </c>
    </row>
    <row r="17" spans="1:11" x14ac:dyDescent="0.25">
      <c r="A17" s="26" t="s">
        <v>23</v>
      </c>
      <c r="B17" s="24">
        <v>-4.4720639037259457E-3</v>
      </c>
      <c r="C17" s="24">
        <v>-6.7513163391558252E-3</v>
      </c>
      <c r="D17" s="24">
        <v>-8.0254875520489825E-3</v>
      </c>
      <c r="E17" s="24">
        <v>-5.7000768353949616E-3</v>
      </c>
      <c r="F17" s="24">
        <v>-5.1126219312167959E-3</v>
      </c>
      <c r="G17" s="24">
        <v>-4.4226069991292272E-3</v>
      </c>
      <c r="H17" s="24">
        <v>-1.5158264393282626E-3</v>
      </c>
      <c r="I17" s="26"/>
      <c r="J17" s="24">
        <v>-3.5999999999999997E-2</v>
      </c>
      <c r="K17" s="26" t="s">
        <v>39</v>
      </c>
    </row>
    <row r="18" spans="1:11" x14ac:dyDescent="0.25">
      <c r="A18" s="26" t="s">
        <v>23</v>
      </c>
      <c r="B18" s="24">
        <v>1.5524999999999999E-2</v>
      </c>
      <c r="C18" s="24">
        <v>2.5368602347506649E-2</v>
      </c>
      <c r="D18" s="24">
        <v>3.9166923850388766E-2</v>
      </c>
      <c r="E18" s="24">
        <v>1.8190189851364398E-2</v>
      </c>
      <c r="F18" s="24">
        <v>1.956813E-2</v>
      </c>
      <c r="G18" s="24">
        <v>2.0849801387796553E-2</v>
      </c>
      <c r="H18" s="24">
        <v>1.1331348870548647E-2</v>
      </c>
      <c r="I18" s="26"/>
      <c r="J18" s="24">
        <v>0.15</v>
      </c>
      <c r="K18" s="26" t="s">
        <v>39</v>
      </c>
    </row>
    <row r="19" spans="1:11" x14ac:dyDescent="0.25">
      <c r="A19" s="26" t="s">
        <v>23</v>
      </c>
      <c r="B19" s="24">
        <v>8.2799999999999992E-3</v>
      </c>
      <c r="C19" s="24">
        <v>1.3529921252003545E-2</v>
      </c>
      <c r="D19" s="24">
        <v>2.0889026053540673E-2</v>
      </c>
      <c r="E19" s="24">
        <v>9.7014345873943468E-3</v>
      </c>
      <c r="F19" s="24">
        <v>1.0436335999999999E-2</v>
      </c>
      <c r="G19" s="24">
        <v>1.1119894073491494E-2</v>
      </c>
      <c r="H19" s="24">
        <v>6.0433860642926116E-3</v>
      </c>
      <c r="I19" s="26"/>
      <c r="J19" s="24">
        <v>0.08</v>
      </c>
      <c r="K19" s="26" t="s">
        <v>42</v>
      </c>
    </row>
    <row r="21" spans="1:11" x14ac:dyDescent="0.25">
      <c r="A21" s="57" t="s">
        <v>212</v>
      </c>
      <c r="B21" s="179">
        <f>SUM(B7:B19)</f>
        <v>6.0059715549403477E-3</v>
      </c>
      <c r="C21" s="179">
        <f t="shared" ref="C21:I21" si="0">SUM(C7:C19)</f>
        <v>-4.5663042911324603E-3</v>
      </c>
      <c r="D21" s="179">
        <f t="shared" si="0"/>
        <v>-3.4944533989104028E-3</v>
      </c>
      <c r="E21" s="179">
        <f t="shared" si="0"/>
        <v>4.1662670459478406E-3</v>
      </c>
      <c r="F21" s="179">
        <f t="shared" si="0"/>
        <v>-4.1869446731587923E-3</v>
      </c>
      <c r="G21" s="179">
        <f t="shared" si="0"/>
        <v>7.0674897952862845E-5</v>
      </c>
      <c r="H21" s="179">
        <f t="shared" si="0"/>
        <v>-2.0446476087037941E-4</v>
      </c>
      <c r="I21" s="179">
        <f t="shared" si="0"/>
        <v>2.2092547083334786E-3</v>
      </c>
      <c r="J21" s="179">
        <f t="shared" ref="J21" si="1">SUM(J7:J20)</f>
        <v>0</v>
      </c>
    </row>
    <row r="22" spans="1:11" x14ac:dyDescent="0.25">
      <c r="A22" s="42"/>
      <c r="B22" s="178"/>
      <c r="C22" s="178"/>
      <c r="D22" s="178"/>
      <c r="E22" s="178"/>
      <c r="F22" s="178"/>
      <c r="G22" s="178"/>
      <c r="H22" s="178"/>
      <c r="I22" s="178"/>
      <c r="J22" s="178"/>
    </row>
    <row r="23" spans="1:11" x14ac:dyDescent="0.25">
      <c r="A23" s="181" t="s">
        <v>214</v>
      </c>
      <c r="B23" s="182">
        <f>-B21</f>
        <v>-6.0059715549403477E-3</v>
      </c>
      <c r="C23" s="182">
        <f t="shared" ref="C23:I23" si="2">-C21</f>
        <v>4.5663042911324603E-3</v>
      </c>
      <c r="D23" s="182">
        <f t="shared" si="2"/>
        <v>3.4944533989104028E-3</v>
      </c>
      <c r="E23" s="182">
        <f t="shared" si="2"/>
        <v>-4.1662670459478406E-3</v>
      </c>
      <c r="F23" s="182">
        <f t="shared" si="2"/>
        <v>4.1869446731587923E-3</v>
      </c>
      <c r="G23" s="182">
        <f t="shared" si="2"/>
        <v>-7.0674897952862845E-5</v>
      </c>
      <c r="H23" s="182">
        <f t="shared" si="2"/>
        <v>2.0446476087037941E-4</v>
      </c>
      <c r="I23" s="182">
        <f t="shared" si="2"/>
        <v>-2.2092547083334786E-3</v>
      </c>
      <c r="J23" s="182">
        <f>SUM(B23:I23)</f>
        <v>-1.0831024948448897E-9</v>
      </c>
      <c r="K23" t="s">
        <v>215</v>
      </c>
    </row>
    <row r="24" spans="1:11" x14ac:dyDescent="0.25">
      <c r="J24" s="40"/>
    </row>
    <row r="25" spans="1:11" x14ac:dyDescent="0.25">
      <c r="A25" s="180" t="s">
        <v>213</v>
      </c>
      <c r="B25" s="183">
        <f>SUM(B23,B7:B19)</f>
        <v>0</v>
      </c>
      <c r="C25" s="183">
        <f t="shared" ref="C25:J25" si="3">SUM(C23,C7:C19)</f>
        <v>0</v>
      </c>
      <c r="D25" s="183">
        <f t="shared" si="3"/>
        <v>0</v>
      </c>
      <c r="E25" s="183">
        <f t="shared" si="3"/>
        <v>-1.7347234759768071E-17</v>
      </c>
      <c r="F25" s="183">
        <f t="shared" si="3"/>
        <v>0</v>
      </c>
      <c r="G25" s="183">
        <f t="shared" si="3"/>
        <v>1.9081958235744878E-17</v>
      </c>
      <c r="H25" s="183">
        <f t="shared" si="3"/>
        <v>0</v>
      </c>
      <c r="I25" s="183">
        <f t="shared" si="3"/>
        <v>0</v>
      </c>
      <c r="J25" s="183">
        <f t="shared" si="3"/>
        <v>-1.083102510457401E-9</v>
      </c>
    </row>
    <row r="26" spans="1:11" x14ac:dyDescent="0.25">
      <c r="B26" s="40"/>
      <c r="C26" s="40"/>
      <c r="D26" s="40"/>
      <c r="E26" s="40"/>
      <c r="F26" s="40"/>
      <c r="G26" s="40"/>
      <c r="H26" s="40"/>
      <c r="I26" s="40"/>
    </row>
  </sheetData>
  <mergeCells count="10">
    <mergeCell ref="H5:H6"/>
    <mergeCell ref="I5:I6"/>
    <mergeCell ref="A5:A6"/>
    <mergeCell ref="K5:K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showGridLines="0" zoomScaleNormal="100" workbookViewId="0">
      <selection activeCell="A65" sqref="A65"/>
    </sheetView>
  </sheetViews>
  <sheetFormatPr defaultRowHeight="15" outlineLevelRow="1" outlineLevelCol="1" x14ac:dyDescent="0.25"/>
  <cols>
    <col min="1" max="1" width="76" customWidth="1"/>
    <col min="2" max="8" width="17" customWidth="1" outlineLevel="1"/>
    <col min="9" max="9" width="17" customWidth="1"/>
    <col min="10" max="10" width="69.42578125" bestFit="1" customWidth="1"/>
    <col min="12" max="12" width="40.5703125" customWidth="1"/>
  </cols>
  <sheetData>
    <row r="1" spans="1:10" x14ac:dyDescent="0.25">
      <c r="A1" s="10" t="s">
        <v>478</v>
      </c>
    </row>
    <row r="2" spans="1:10" x14ac:dyDescent="0.25">
      <c r="A2" s="138" t="s">
        <v>479</v>
      </c>
    </row>
    <row r="3" spans="1:10" ht="15.75" thickBot="1" x14ac:dyDescent="0.3"/>
    <row r="4" spans="1:10" ht="15" customHeight="1" x14ac:dyDescent="0.25">
      <c r="A4" s="363" t="s">
        <v>395</v>
      </c>
      <c r="B4" s="361" t="s">
        <v>0</v>
      </c>
      <c r="C4" s="361" t="s">
        <v>1</v>
      </c>
      <c r="D4" s="366" t="s">
        <v>2</v>
      </c>
      <c r="E4" s="361" t="s">
        <v>65</v>
      </c>
      <c r="F4" s="366" t="s">
        <v>4</v>
      </c>
      <c r="G4" s="366" t="s">
        <v>5</v>
      </c>
      <c r="H4" s="361" t="s">
        <v>29</v>
      </c>
      <c r="I4" s="2" t="s">
        <v>6</v>
      </c>
    </row>
    <row r="5" spans="1:10" ht="15.75" thickBot="1" x14ac:dyDescent="0.3">
      <c r="A5" s="364"/>
      <c r="B5" s="362"/>
      <c r="C5" s="362"/>
      <c r="D5" s="367"/>
      <c r="E5" s="362"/>
      <c r="F5" s="367"/>
      <c r="G5" s="367"/>
      <c r="H5" s="362"/>
      <c r="I5" s="3" t="s">
        <v>7</v>
      </c>
    </row>
    <row r="6" spans="1:10" ht="15.75" thickBot="1" x14ac:dyDescent="0.3">
      <c r="A6" s="368"/>
      <c r="B6" s="3" t="s">
        <v>8</v>
      </c>
      <c r="C6" s="3" t="s">
        <v>8</v>
      </c>
      <c r="D6" s="4" t="s">
        <v>8</v>
      </c>
      <c r="E6" s="3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s="10" customFormat="1" hidden="1" x14ac:dyDescent="0.25">
      <c r="A7" s="20" t="s">
        <v>256</v>
      </c>
      <c r="B7" s="21">
        <v>26.830032159466722</v>
      </c>
      <c r="C7" s="21">
        <v>41.342239773672461</v>
      </c>
      <c r="D7" s="21">
        <v>19.242207299330843</v>
      </c>
      <c r="E7" s="21">
        <v>20.69452388218177</v>
      </c>
      <c r="F7" s="21">
        <v>22.04307114119376</v>
      </c>
      <c r="G7" s="21">
        <v>11.973115255436671</v>
      </c>
      <c r="H7" s="21">
        <v>16.421132335888583</v>
      </c>
      <c r="I7" s="21">
        <v>158.54632184717082</v>
      </c>
    </row>
    <row r="8" spans="1:10" s="10" customFormat="1" hidden="1" x14ac:dyDescent="0.25">
      <c r="A8" s="22" t="s">
        <v>167</v>
      </c>
      <c r="B8" s="23">
        <f t="shared" ref="B8:H8" si="0">$I$8*B67</f>
        <v>3.8560275568210102E-2</v>
      </c>
      <c r="C8" s="23">
        <f t="shared" si="0"/>
        <v>5.9533724252590924E-2</v>
      </c>
      <c r="D8" s="23">
        <f t="shared" si="0"/>
        <v>2.7649088574073888E-2</v>
      </c>
      <c r="E8" s="23">
        <f t="shared" si="0"/>
        <v>2.9743557599999998E-2</v>
      </c>
      <c r="F8" s="23">
        <f t="shared" si="0"/>
        <v>3.1691698109450758E-2</v>
      </c>
      <c r="G8" s="23">
        <f t="shared" si="0"/>
        <v>1.7223650283233943E-2</v>
      </c>
      <c r="H8" s="23">
        <f t="shared" si="0"/>
        <v>2.3598000000000001E-2</v>
      </c>
      <c r="I8" s="23">
        <v>0.22800000000000001</v>
      </c>
      <c r="J8" s="365" t="s">
        <v>208</v>
      </c>
    </row>
    <row r="9" spans="1:10" hidden="1" x14ac:dyDescent="0.25">
      <c r="A9" s="22" t="s">
        <v>30</v>
      </c>
      <c r="B9" s="23">
        <v>-3.8898523599510189E-2</v>
      </c>
      <c r="C9" s="23">
        <v>-6.0055949903929429E-2</v>
      </c>
      <c r="D9" s="23">
        <v>-2.7891624438758745E-2</v>
      </c>
      <c r="E9" s="23">
        <v>-3.0004465999999997E-2</v>
      </c>
      <c r="F9" s="23">
        <v>-3.1969695461288042E-2</v>
      </c>
      <c r="G9" s="23">
        <v>-1.7374734934841259E-2</v>
      </c>
      <c r="H9" s="23">
        <v>-2.3804999999999996E-2</v>
      </c>
      <c r="I9" s="23">
        <f>-0.08-0.15</f>
        <v>-0.22999999999999998</v>
      </c>
      <c r="J9" s="365"/>
    </row>
    <row r="10" spans="1:10" hidden="1" x14ac:dyDescent="0.25">
      <c r="A10" s="22" t="s">
        <v>31</v>
      </c>
      <c r="B10" s="23">
        <v>-5.4965305086264411E-2</v>
      </c>
      <c r="C10" s="23">
        <v>-8.4861668342509008E-2</v>
      </c>
      <c r="D10" s="23">
        <v>-3.9412078011289542E-2</v>
      </c>
      <c r="E10" s="23">
        <v>-4.2397615000000007E-2</v>
      </c>
      <c r="F10" s="23">
        <v>-4.5174569673559206E-2</v>
      </c>
      <c r="G10" s="23">
        <v>-2.4551255886188741E-2</v>
      </c>
      <c r="H10" s="23">
        <v>-3.3637500000000008E-2</v>
      </c>
      <c r="I10" s="23">
        <f>-0.555+0.23</f>
        <v>-0.32500000000000007</v>
      </c>
      <c r="J10" s="365"/>
    </row>
    <row r="11" spans="1:10" hidden="1" x14ac:dyDescent="0.25">
      <c r="A11" s="22" t="s">
        <v>162</v>
      </c>
      <c r="B11" s="23">
        <v>-0.10790112198472827</v>
      </c>
      <c r="C11" s="23">
        <v>-0.16658998277698686</v>
      </c>
      <c r="D11" s="23">
        <v>-7.7368940834469907E-2</v>
      </c>
      <c r="E11" s="23">
        <v>-8.3229779599999998E-2</v>
      </c>
      <c r="F11" s="23">
        <v>-8.8681155236094669E-2</v>
      </c>
      <c r="G11" s="23">
        <v>-4.819600386273358E-2</v>
      </c>
      <c r="H11" s="23">
        <v>-6.6032999999999994E-2</v>
      </c>
      <c r="I11" s="23">
        <v>-0.13600000000000001</v>
      </c>
      <c r="J11" s="365"/>
    </row>
    <row r="12" spans="1:10" hidden="1" x14ac:dyDescent="0.25">
      <c r="A12" s="32" t="s">
        <v>21</v>
      </c>
      <c r="B12" s="33">
        <f t="shared" ref="B12:I12" si="1">SUM(B7:B11)</f>
        <v>26.666827484364429</v>
      </c>
      <c r="C12" s="33">
        <f t="shared" si="1"/>
        <v>41.090265896901627</v>
      </c>
      <c r="D12" s="33">
        <f t="shared" si="1"/>
        <v>19.125183744620397</v>
      </c>
      <c r="E12" s="33">
        <f t="shared" si="1"/>
        <v>20.56863557918177</v>
      </c>
      <c r="F12" s="33">
        <f t="shared" si="1"/>
        <v>21.908937418932268</v>
      </c>
      <c r="G12" s="33">
        <f t="shared" si="1"/>
        <v>11.900216911036141</v>
      </c>
      <c r="H12" s="33">
        <f t="shared" ref="H12" si="2">SUM(H7:H11)</f>
        <v>16.321254835888581</v>
      </c>
      <c r="I12" s="33">
        <f t="shared" si="1"/>
        <v>158.08332184717085</v>
      </c>
    </row>
    <row r="13" spans="1:10" hidden="1" x14ac:dyDescent="0.25">
      <c r="A13" s="34" t="s">
        <v>28</v>
      </c>
      <c r="B13" s="35"/>
      <c r="C13" s="35"/>
      <c r="D13" s="35"/>
      <c r="E13" s="35"/>
      <c r="F13" s="35"/>
      <c r="G13" s="35"/>
      <c r="H13" s="35"/>
      <c r="I13" s="36"/>
    </row>
    <row r="14" spans="1:10" hidden="1" x14ac:dyDescent="0.25">
      <c r="A14" s="22" t="s">
        <v>24</v>
      </c>
      <c r="B14" s="24">
        <v>0.16286642707099269</v>
      </c>
      <c r="C14" s="24">
        <v>0.25145165111949586</v>
      </c>
      <c r="D14" s="24">
        <v>0.11678101884575945</v>
      </c>
      <c r="E14" s="24">
        <v>0.1256273946</v>
      </c>
      <c r="F14" s="24">
        <v>0.13385572490965386</v>
      </c>
      <c r="G14" s="24">
        <v>7.2747259748922322E-2</v>
      </c>
      <c r="H14" s="24">
        <v>9.9670499999999995E-2</v>
      </c>
      <c r="I14" s="24">
        <f>-SUM(I10:I11)</f>
        <v>0.46100000000000008</v>
      </c>
    </row>
    <row r="15" spans="1:10" hidden="1" x14ac:dyDescent="0.25">
      <c r="A15" s="22" t="s">
        <v>201</v>
      </c>
      <c r="B15" s="23">
        <f t="shared" ref="B15:H15" si="3">$I$15*B67</f>
        <v>-4.6001732256812054E-2</v>
      </c>
      <c r="C15" s="23">
        <f t="shared" si="3"/>
        <v>-7.1022688582038293E-2</v>
      </c>
      <c r="D15" s="23">
        <f t="shared" si="3"/>
        <v>-3.2984877597140777E-2</v>
      </c>
      <c r="E15" s="23">
        <f t="shared" si="3"/>
        <v>-3.5483542399999998E-2</v>
      </c>
      <c r="F15" s="23">
        <f t="shared" si="3"/>
        <v>-3.780763984987108E-2</v>
      </c>
      <c r="G15" s="23">
        <f t="shared" si="3"/>
        <v>-2.0547512618594881E-2</v>
      </c>
      <c r="H15" s="23">
        <f t="shared" si="3"/>
        <v>-2.8152E-2</v>
      </c>
      <c r="I15" s="23">
        <v>-0.27200000000000002</v>
      </c>
    </row>
    <row r="16" spans="1:10" s="10" customFormat="1" x14ac:dyDescent="0.25">
      <c r="A16" s="20" t="s">
        <v>25</v>
      </c>
      <c r="B16" s="21">
        <f t="shared" ref="B16:G16" si="4">SUM(B12:B15)</f>
        <v>26.783692179178608</v>
      </c>
      <c r="C16" s="21">
        <f t="shared" si="4"/>
        <v>41.270694859439082</v>
      </c>
      <c r="D16" s="21">
        <f t="shared" si="4"/>
        <v>19.208979885869017</v>
      </c>
      <c r="E16" s="21">
        <f t="shared" si="4"/>
        <v>20.658779431381767</v>
      </c>
      <c r="F16" s="21">
        <f t="shared" si="4"/>
        <v>22.004985503992053</v>
      </c>
      <c r="G16" s="21">
        <f t="shared" si="4"/>
        <v>11.952416658166468</v>
      </c>
      <c r="H16" s="21">
        <f t="shared" ref="H16" si="5">SUM(H12:H15)</f>
        <v>16.392773335888581</v>
      </c>
      <c r="I16" s="21">
        <f>SUM(I12:I15)</f>
        <v>158.27232184717087</v>
      </c>
    </row>
    <row r="17" spans="1:11" outlineLevel="1" x14ac:dyDescent="0.25">
      <c r="A17" s="22" t="s">
        <v>32</v>
      </c>
      <c r="B17" s="24">
        <f t="shared" ref="B17:H17" si="6">$I$17*B$67</f>
        <v>0.53535301274099556</v>
      </c>
      <c r="C17" s="24">
        <f t="shared" si="6"/>
        <v>0.82653866365498185</v>
      </c>
      <c r="D17" s="24">
        <f t="shared" si="6"/>
        <v>0.38386714434883834</v>
      </c>
      <c r="E17" s="24">
        <f t="shared" si="6"/>
        <v>0.41294578257430398</v>
      </c>
      <c r="F17" s="24">
        <f t="shared" si="6"/>
        <v>0.43999286342652344</v>
      </c>
      <c r="G17" s="24">
        <f t="shared" si="6"/>
        <v>0.23912518605360691</v>
      </c>
      <c r="H17" s="24">
        <f t="shared" si="6"/>
        <v>0.32762370622364373</v>
      </c>
      <c r="I17" s="179">
        <f>I16*0.02</f>
        <v>3.1654464369434177</v>
      </c>
    </row>
    <row r="18" spans="1:11" outlineLevel="1" x14ac:dyDescent="0.25">
      <c r="A18" s="22" t="s">
        <v>63</v>
      </c>
      <c r="B18" s="24">
        <f t="shared" ref="B18:H18" si="7">$I$18*B$67</f>
        <v>0.25689937977241728</v>
      </c>
      <c r="C18" s="24">
        <f t="shared" si="7"/>
        <v>0.39663038219160351</v>
      </c>
      <c r="D18" s="24">
        <f t="shared" si="7"/>
        <v>0.18420598922815015</v>
      </c>
      <c r="E18" s="24">
        <f t="shared" si="7"/>
        <v>0.19815992979999997</v>
      </c>
      <c r="F18" s="24">
        <f t="shared" si="7"/>
        <v>0.21113898872041972</v>
      </c>
      <c r="G18" s="24">
        <f t="shared" si="7"/>
        <v>0.11474879289575596</v>
      </c>
      <c r="H18" s="24">
        <f t="shared" si="7"/>
        <v>0.15721649999999998</v>
      </c>
      <c r="I18" s="179">
        <v>1.5189999999999999</v>
      </c>
      <c r="K18" s="40"/>
    </row>
    <row r="19" spans="1:11" s="10" customFormat="1" outlineLevel="1" x14ac:dyDescent="0.25">
      <c r="A19" s="22" t="s">
        <v>26</v>
      </c>
      <c r="B19" s="24">
        <v>0.30199999999999999</v>
      </c>
      <c r="C19" s="24">
        <v>0.33600000000000002</v>
      </c>
      <c r="D19" s="24">
        <v>0.22700000000000001</v>
      </c>
      <c r="E19" s="24">
        <v>0.254</v>
      </c>
      <c r="F19" s="24">
        <v>0.192</v>
      </c>
      <c r="G19" s="24">
        <v>6.4000000000000001E-2</v>
      </c>
      <c r="H19" s="24">
        <v>0.20499999999999999</v>
      </c>
      <c r="I19" s="179">
        <v>1.58</v>
      </c>
      <c r="J19" s="165"/>
    </row>
    <row r="20" spans="1:11" s="10" customFormat="1" outlineLevel="1" x14ac:dyDescent="0.25">
      <c r="A20" s="22" t="s">
        <v>27</v>
      </c>
      <c r="B20" s="24">
        <v>-1.6743277549354389E-2</v>
      </c>
      <c r="C20" s="24">
        <v>-2.5850169741256583E-2</v>
      </c>
      <c r="D20" s="24">
        <v>-1.2005525301900504E-2</v>
      </c>
      <c r="E20" s="24">
        <v>-1.2914965799999999E-2</v>
      </c>
      <c r="F20" s="24">
        <v>-1.3760868915945725E-2</v>
      </c>
      <c r="G20" s="24">
        <v>-7.4786902545621071E-3</v>
      </c>
      <c r="H20" s="24">
        <v>-1.02465E-2</v>
      </c>
      <c r="I20" s="179">
        <v>-9.9000000000000005E-2</v>
      </c>
    </row>
    <row r="21" spans="1:11" s="224" customFormat="1" outlineLevel="1" x14ac:dyDescent="0.25">
      <c r="A21" s="358" t="s">
        <v>448</v>
      </c>
      <c r="B21" s="359">
        <f>$I21*'RF Comm Alloc''s 2021_22'!B$22</f>
        <v>0.23711600000000005</v>
      </c>
      <c r="C21" s="359">
        <f>$I21*'RF Comm Alloc''s 2021_22'!C$22</f>
        <v>0</v>
      </c>
      <c r="D21" s="359">
        <f>$I21*'RF Comm Alloc''s 2021_22'!D$22</f>
        <v>0.19419950000000005</v>
      </c>
      <c r="E21" s="359">
        <f>$I21*'RF Comm Alloc''s 2021_22'!E$22</f>
        <v>0.16110050000000004</v>
      </c>
      <c r="F21" s="359">
        <f>$I21*'RF Comm Alloc''s 2021_22'!F$22</f>
        <v>0.15708000000000005</v>
      </c>
      <c r="G21" s="359">
        <f>$I21*'RF Comm Alloc''s 2021_22'!G$22</f>
        <v>1.3090000000000003E-2</v>
      </c>
      <c r="H21" s="359">
        <f>$I21*'RF Comm Alloc''s 2021_22'!H$22</f>
        <v>0.17241400000000004</v>
      </c>
      <c r="I21" s="360">
        <v>0.93500000000000005</v>
      </c>
      <c r="J21" s="316" t="s">
        <v>394</v>
      </c>
      <c r="K21" s="223"/>
    </row>
    <row r="22" spans="1:11" s="224" customFormat="1" outlineLevel="1" x14ac:dyDescent="0.25">
      <c r="A22" s="358" t="s">
        <v>449</v>
      </c>
      <c r="B22" s="359">
        <f>$I22*'RF Comm Alloc''s 2021_22'!B$22</f>
        <v>-3.8040000000000004E-2</v>
      </c>
      <c r="C22" s="359">
        <f>$I22*'RF Comm Alloc''s 2021_22'!C$22</f>
        <v>0</v>
      </c>
      <c r="D22" s="359">
        <f>$I22*'RF Comm Alloc''s 2021_22'!D$22</f>
        <v>-3.1155000000000006E-2</v>
      </c>
      <c r="E22" s="359">
        <f>$I22*'RF Comm Alloc''s 2021_22'!E$22</f>
        <v>-2.5845000000000003E-2</v>
      </c>
      <c r="F22" s="359">
        <f>$I22*'RF Comm Alloc''s 2021_22'!F$22</f>
        <v>-2.5200000000000004E-2</v>
      </c>
      <c r="G22" s="359">
        <f>$I22*'RF Comm Alloc''s 2021_22'!G$22</f>
        <v>-2.1000000000000003E-3</v>
      </c>
      <c r="H22" s="359">
        <f>$I22*'RF Comm Alloc''s 2021_22'!H$22</f>
        <v>-2.7660000000000004E-2</v>
      </c>
      <c r="I22" s="360">
        <v>-0.15</v>
      </c>
      <c r="J22" s="316" t="s">
        <v>394</v>
      </c>
      <c r="K22" s="223"/>
    </row>
    <row r="23" spans="1:11" s="7" customFormat="1" outlineLevel="1" x14ac:dyDescent="0.25">
      <c r="A23" s="166" t="s">
        <v>161</v>
      </c>
      <c r="B23" s="167">
        <f t="shared" ref="B23:H23" si="8">$I$23*B67</f>
        <v>0.30442322817007977</v>
      </c>
      <c r="C23" s="167">
        <f t="shared" si="8"/>
        <v>0.47000308620466519</v>
      </c>
      <c r="D23" s="167">
        <f t="shared" si="8"/>
        <v>0.2182822782163728</v>
      </c>
      <c r="E23" s="167">
        <f t="shared" si="8"/>
        <v>0.23481755999999998</v>
      </c>
      <c r="F23" s="167">
        <f t="shared" si="8"/>
        <v>0.25019761665355861</v>
      </c>
      <c r="G23" s="167">
        <f t="shared" si="8"/>
        <v>0.13597618644658377</v>
      </c>
      <c r="H23" s="167">
        <f t="shared" si="8"/>
        <v>0.18629999999999999</v>
      </c>
      <c r="I23" s="304">
        <v>1.8</v>
      </c>
      <c r="J23" s="165"/>
    </row>
    <row r="24" spans="1:11" s="7" customFormat="1" x14ac:dyDescent="0.25">
      <c r="A24" s="20" t="s">
        <v>378</v>
      </c>
      <c r="B24" s="20"/>
      <c r="C24" s="20"/>
      <c r="D24" s="20"/>
      <c r="E24" s="20"/>
      <c r="F24" s="20"/>
      <c r="G24" s="20"/>
      <c r="H24" s="20"/>
      <c r="I24" s="346"/>
      <c r="J24" s="165"/>
    </row>
    <row r="25" spans="1:11" s="7" customFormat="1" outlineLevel="1" x14ac:dyDescent="0.25">
      <c r="A25" s="358" t="s">
        <v>380</v>
      </c>
      <c r="B25" s="394">
        <v>2.464</v>
      </c>
      <c r="C25" s="394">
        <v>0</v>
      </c>
      <c r="D25" s="394">
        <v>0</v>
      </c>
      <c r="E25" s="394">
        <v>0</v>
      </c>
      <c r="F25" s="394">
        <v>0</v>
      </c>
      <c r="G25" s="394">
        <v>0</v>
      </c>
      <c r="H25" s="394">
        <v>0</v>
      </c>
      <c r="I25" s="395">
        <f>SUM(B25:H25)</f>
        <v>2.464</v>
      </c>
      <c r="J25" s="165" t="s">
        <v>481</v>
      </c>
    </row>
    <row r="26" spans="1:11" s="7" customFormat="1" outlineLevel="1" x14ac:dyDescent="0.25">
      <c r="A26" s="358" t="s">
        <v>480</v>
      </c>
      <c r="B26" s="394">
        <v>-0.5</v>
      </c>
      <c r="C26" s="394">
        <v>0</v>
      </c>
      <c r="D26" s="394">
        <v>0</v>
      </c>
      <c r="E26" s="394">
        <v>0</v>
      </c>
      <c r="F26" s="394">
        <v>0</v>
      </c>
      <c r="G26" s="394">
        <v>0</v>
      </c>
      <c r="H26" s="394">
        <v>0</v>
      </c>
      <c r="I26" s="395">
        <f>SUM(B26:H26)</f>
        <v>-0.5</v>
      </c>
      <c r="J26" s="165"/>
    </row>
    <row r="27" spans="1:11" s="7" customFormat="1" outlineLevel="1" x14ac:dyDescent="0.25">
      <c r="A27" s="358" t="s">
        <v>457</v>
      </c>
      <c r="B27" s="394">
        <f>$I$27*'RF Comm Alloc''s 2021_22'!B$23</f>
        <v>7.4939999999999993E-2</v>
      </c>
      <c r="C27" s="394">
        <f>$I$27*'RF Comm Alloc''s 2021_22'!C$23</f>
        <v>0</v>
      </c>
      <c r="D27" s="394">
        <f>$I$27*'RF Comm Alloc''s 2021_22'!D$23</f>
        <v>6.1379999999999997E-2</v>
      </c>
      <c r="E27" s="394">
        <f>$I$27*'RF Comm Alloc''s 2021_22'!E$23</f>
        <v>5.0910000000000004E-2</v>
      </c>
      <c r="F27" s="394">
        <f>$I$27*'RF Comm Alloc''s 2021_22'!F$23</f>
        <v>4.965E-2</v>
      </c>
      <c r="G27" s="394">
        <f>$I$27*'RF Comm Alloc''s 2021_22'!G$23</f>
        <v>8.6400000000000001E-3</v>
      </c>
      <c r="H27" s="394">
        <f>$I$27*'RF Comm Alloc''s 2021_22'!H$23</f>
        <v>5.4480000000000001E-2</v>
      </c>
      <c r="I27" s="395">
        <v>0.3</v>
      </c>
      <c r="J27" s="316" t="s">
        <v>394</v>
      </c>
    </row>
    <row r="28" spans="1:11" s="7" customFormat="1" outlineLevel="1" x14ac:dyDescent="0.25">
      <c r="A28" s="358" t="s">
        <v>372</v>
      </c>
      <c r="B28" s="394">
        <v>0.16960729999999999</v>
      </c>
      <c r="C28" s="394">
        <v>0.26188329999999999</v>
      </c>
      <c r="D28" s="394">
        <v>0.12166389999999999</v>
      </c>
      <c r="E28" s="394">
        <v>0.13089149999999999</v>
      </c>
      <c r="F28" s="394">
        <v>0.13941699999999999</v>
      </c>
      <c r="G28" s="394">
        <v>7.5726499999999988E-2</v>
      </c>
      <c r="H28" s="394">
        <v>0.10381049999999999</v>
      </c>
      <c r="I28" s="395">
        <f>SUM(B28:H28)</f>
        <v>1.0029999999999999</v>
      </c>
      <c r="J28" s="165" t="s">
        <v>481</v>
      </c>
    </row>
    <row r="29" spans="1:11" s="7" customFormat="1" outlineLevel="1" x14ac:dyDescent="0.25">
      <c r="A29" s="358" t="s">
        <v>373</v>
      </c>
      <c r="B29" s="394">
        <v>-0.18601000000000001</v>
      </c>
      <c r="C29" s="394">
        <v>-0.28721000000000002</v>
      </c>
      <c r="D29" s="394">
        <v>-0.13343000000000002</v>
      </c>
      <c r="E29" s="394">
        <v>-0.14355000000000001</v>
      </c>
      <c r="F29" s="394">
        <v>-0.15290000000000004</v>
      </c>
      <c r="G29" s="394">
        <v>-8.3049999999999999E-2</v>
      </c>
      <c r="H29" s="394">
        <v>-0.11385000000000001</v>
      </c>
      <c r="I29" s="395">
        <f t="shared" ref="I29:I37" si="9">SUM(B29:H29)</f>
        <v>-1.1000000000000001</v>
      </c>
      <c r="J29" s="165" t="s">
        <v>481</v>
      </c>
    </row>
    <row r="30" spans="1:11" s="7" customFormat="1" outlineLevel="1" x14ac:dyDescent="0.25">
      <c r="A30" s="358" t="s">
        <v>374</v>
      </c>
      <c r="B30" s="394">
        <v>0.137986</v>
      </c>
      <c r="C30" s="394">
        <v>0.213058</v>
      </c>
      <c r="D30" s="394">
        <v>9.8981E-2</v>
      </c>
      <c r="E30" s="394">
        <v>0.105488</v>
      </c>
      <c r="F30" s="394">
        <v>0.113424</v>
      </c>
      <c r="G30" s="394">
        <v>6.1608000000000003E-2</v>
      </c>
      <c r="H30" s="394">
        <v>8.4456000000000003E-2</v>
      </c>
      <c r="I30" s="395">
        <f t="shared" si="9"/>
        <v>0.81500099999999998</v>
      </c>
      <c r="J30" s="165" t="s">
        <v>481</v>
      </c>
    </row>
    <row r="31" spans="1:11" s="7" customFormat="1" outlineLevel="1" x14ac:dyDescent="0.25">
      <c r="A31" s="358" t="s">
        <v>375</v>
      </c>
      <c r="B31" s="394">
        <v>-5.7385268700000006E-2</v>
      </c>
      <c r="C31" s="394">
        <v>-8.8606112700000003E-2</v>
      </c>
      <c r="D31" s="394">
        <v>-4.1164004100000005E-2</v>
      </c>
      <c r="E31" s="394">
        <v>-4.4286088500000001E-2</v>
      </c>
      <c r="F31" s="394">
        <v>-4.7170623000000009E-2</v>
      </c>
      <c r="G31" s="394">
        <v>-2.5621453500000002E-2</v>
      </c>
      <c r="H31" s="394">
        <v>-3.5123449500000001E-2</v>
      </c>
      <c r="I31" s="395">
        <f t="shared" si="9"/>
        <v>-0.33935700000000008</v>
      </c>
      <c r="J31" s="165" t="s">
        <v>481</v>
      </c>
    </row>
    <row r="32" spans="1:11" s="7" customFormat="1" outlineLevel="1" x14ac:dyDescent="0.25">
      <c r="A32" s="358" t="s">
        <v>376</v>
      </c>
      <c r="B32" s="394">
        <v>5.6663999999999999E-2</v>
      </c>
      <c r="C32" s="394">
        <v>8.8474999999999998E-2</v>
      </c>
      <c r="D32" s="394">
        <v>4.0758000000000003E-2</v>
      </c>
      <c r="E32" s="394">
        <v>4.3740000000000001E-2</v>
      </c>
      <c r="F32" s="394">
        <v>4.6723000000000001E-2</v>
      </c>
      <c r="G32" s="394">
        <v>2.5846999999999998E-2</v>
      </c>
      <c r="H32" s="394">
        <v>3.4793999999999999E-2</v>
      </c>
      <c r="I32" s="395">
        <f t="shared" si="9"/>
        <v>0.337001</v>
      </c>
      <c r="J32" s="165" t="s">
        <v>481</v>
      </c>
    </row>
    <row r="33" spans="1:10" s="7" customFormat="1" outlineLevel="1" x14ac:dyDescent="0.25">
      <c r="A33" s="358" t="s">
        <v>451</v>
      </c>
      <c r="B33" s="394">
        <f>$I$33*B$67</f>
        <v>-2.8751082660507535E-2</v>
      </c>
      <c r="C33" s="394">
        <f t="shared" ref="C33:H33" si="10">$I$33*C$67</f>
        <v>-4.4389180363773935E-2</v>
      </c>
      <c r="D33" s="394">
        <f t="shared" si="10"/>
        <v>-2.0615548498212989E-2</v>
      </c>
      <c r="E33" s="394">
        <f t="shared" si="10"/>
        <v>-2.2177214000000001E-2</v>
      </c>
      <c r="F33" s="394">
        <f t="shared" si="10"/>
        <v>-2.3629774906169427E-2</v>
      </c>
      <c r="G33" s="394">
        <f t="shared" si="10"/>
        <v>-1.2842195386621801E-2</v>
      </c>
      <c r="H33" s="394">
        <f t="shared" si="10"/>
        <v>-1.7595E-2</v>
      </c>
      <c r="I33" s="395">
        <v>-0.17</v>
      </c>
      <c r="J33" s="165"/>
    </row>
    <row r="34" spans="1:10" s="7" customFormat="1" outlineLevel="1" x14ac:dyDescent="0.25">
      <c r="A34" s="358" t="s">
        <v>482</v>
      </c>
      <c r="B34" s="395">
        <v>9.4920000000000004E-3</v>
      </c>
      <c r="C34" s="395">
        <v>0</v>
      </c>
      <c r="D34" s="395">
        <v>7.7749999999999998E-3</v>
      </c>
      <c r="E34" s="395">
        <v>6.4479999999999997E-3</v>
      </c>
      <c r="F34" s="395">
        <v>6.2890000000000003E-3</v>
      </c>
      <c r="G34" s="395">
        <v>1.0939999999999999E-3</v>
      </c>
      <c r="H34" s="395">
        <v>6.9020000000000001E-3</v>
      </c>
      <c r="I34" s="395">
        <v>3.7999999999999999E-2</v>
      </c>
      <c r="J34" s="165" t="s">
        <v>481</v>
      </c>
    </row>
    <row r="35" spans="1:10" s="7" customFormat="1" outlineLevel="1" x14ac:dyDescent="0.25">
      <c r="A35" s="358" t="s">
        <v>483</v>
      </c>
      <c r="B35" s="395">
        <f>-0.02</f>
        <v>-0.02</v>
      </c>
      <c r="C35" s="395">
        <v>-0.27600000000000002</v>
      </c>
      <c r="D35" s="395">
        <v>7.0000000000000001E-3</v>
      </c>
      <c r="E35" s="395">
        <v>0.57699999999999996</v>
      </c>
      <c r="F35" s="395">
        <v>-0.153</v>
      </c>
      <c r="G35" s="395">
        <v>-0.123</v>
      </c>
      <c r="H35" s="395">
        <v>-1.2E-2</v>
      </c>
      <c r="I35" s="395">
        <f>SUM(B35:H35)</f>
        <v>-7.2858385991025898E-17</v>
      </c>
      <c r="J35" s="165"/>
    </row>
    <row r="36" spans="1:10" s="7" customFormat="1" x14ac:dyDescent="0.25">
      <c r="A36" s="20"/>
      <c r="B36" s="20"/>
      <c r="C36" s="20"/>
      <c r="D36" s="20"/>
      <c r="E36" s="20"/>
      <c r="F36" s="20"/>
      <c r="G36" s="20"/>
      <c r="H36" s="20"/>
      <c r="I36" s="346"/>
      <c r="J36" s="165"/>
    </row>
    <row r="37" spans="1:10" s="7" customFormat="1" outlineLevel="1" x14ac:dyDescent="0.25">
      <c r="A37" s="166"/>
      <c r="B37" s="167"/>
      <c r="C37" s="167"/>
      <c r="D37" s="167"/>
      <c r="E37" s="167"/>
      <c r="F37" s="167"/>
      <c r="G37" s="167"/>
      <c r="H37" s="167"/>
      <c r="I37" s="167">
        <f t="shared" si="9"/>
        <v>0</v>
      </c>
      <c r="J37" s="165"/>
    </row>
    <row r="38" spans="1:10" s="10" customFormat="1" x14ac:dyDescent="0.25">
      <c r="A38" s="20" t="s">
        <v>377</v>
      </c>
      <c r="B38" s="21">
        <f t="shared" ref="B38:H38" si="11">SUM(B16:B36)</f>
        <v>30.485243470952241</v>
      </c>
      <c r="C38" s="21">
        <f t="shared" si="11"/>
        <v>43.141227828685295</v>
      </c>
      <c r="D38" s="21">
        <f t="shared" si="11"/>
        <v>20.515722619762261</v>
      </c>
      <c r="E38" s="21">
        <f t="shared" si="11"/>
        <v>22.585507435456066</v>
      </c>
      <c r="F38" s="21">
        <f t="shared" si="11"/>
        <v>23.195236705970444</v>
      </c>
      <c r="G38" s="21">
        <f t="shared" si="11"/>
        <v>12.438179984421234</v>
      </c>
      <c r="H38" s="21">
        <f t="shared" si="11"/>
        <v>17.509295092612227</v>
      </c>
      <c r="I38" s="21">
        <f>SUM(B38:H38)</f>
        <v>169.87041313785977</v>
      </c>
    </row>
    <row r="39" spans="1:10" s="10" customFormat="1" x14ac:dyDescent="0.25">
      <c r="A39" s="30"/>
      <c r="B39" s="31"/>
      <c r="C39" s="31"/>
      <c r="D39" s="31"/>
      <c r="E39" s="31"/>
      <c r="F39" s="31"/>
      <c r="G39" s="31"/>
      <c r="H39" s="31"/>
      <c r="I39" s="31"/>
    </row>
    <row r="40" spans="1:10" s="10" customFormat="1" x14ac:dyDescent="0.25">
      <c r="A40" s="34" t="s">
        <v>379</v>
      </c>
      <c r="B40" s="35"/>
      <c r="C40" s="35"/>
      <c r="D40" s="35"/>
      <c r="E40" s="35"/>
      <c r="F40" s="35"/>
      <c r="G40" s="35"/>
      <c r="H40" s="35"/>
      <c r="I40" s="36"/>
    </row>
    <row r="41" spans="1:10" s="10" customFormat="1" outlineLevel="1" x14ac:dyDescent="0.25">
      <c r="A41" s="358" t="s">
        <v>161</v>
      </c>
      <c r="B41" s="394">
        <f t="shared" ref="B41:I41" si="12">-B23</f>
        <v>-0.30442322817007977</v>
      </c>
      <c r="C41" s="394">
        <f t="shared" si="12"/>
        <v>-0.47000308620466519</v>
      </c>
      <c r="D41" s="394">
        <f t="shared" si="12"/>
        <v>-0.2182822782163728</v>
      </c>
      <c r="E41" s="394">
        <f t="shared" si="12"/>
        <v>-0.23481755999999998</v>
      </c>
      <c r="F41" s="394">
        <f t="shared" si="12"/>
        <v>-0.25019761665355861</v>
      </c>
      <c r="G41" s="394">
        <f t="shared" si="12"/>
        <v>-0.13597618644658377</v>
      </c>
      <c r="H41" s="394">
        <f t="shared" si="12"/>
        <v>-0.18629999999999999</v>
      </c>
      <c r="I41" s="395">
        <f t="shared" si="12"/>
        <v>-1.8</v>
      </c>
    </row>
    <row r="42" spans="1:10" s="10" customFormat="1" outlineLevel="1" x14ac:dyDescent="0.25">
      <c r="A42" s="358" t="s">
        <v>317</v>
      </c>
      <c r="B42" s="394">
        <f>-SUM(B25:B26)</f>
        <v>-1.964</v>
      </c>
      <c r="C42" s="394">
        <f t="shared" ref="C42:I42" si="13">-SUM(C25:C26)</f>
        <v>0</v>
      </c>
      <c r="D42" s="394">
        <f t="shared" si="13"/>
        <v>0</v>
      </c>
      <c r="E42" s="394">
        <f t="shared" si="13"/>
        <v>0</v>
      </c>
      <c r="F42" s="394">
        <f t="shared" si="13"/>
        <v>0</v>
      </c>
      <c r="G42" s="394">
        <f t="shared" si="13"/>
        <v>0</v>
      </c>
      <c r="H42" s="394">
        <f t="shared" si="13"/>
        <v>0</v>
      </c>
      <c r="I42" s="394">
        <f t="shared" si="13"/>
        <v>-1.964</v>
      </c>
    </row>
    <row r="43" spans="1:10" s="10" customFormat="1" outlineLevel="1" x14ac:dyDescent="0.25">
      <c r="A43" s="358" t="s">
        <v>446</v>
      </c>
      <c r="B43" s="394">
        <f t="shared" ref="B43:I43" si="14">-B27</f>
        <v>-7.4939999999999993E-2</v>
      </c>
      <c r="C43" s="394">
        <f t="shared" si="14"/>
        <v>0</v>
      </c>
      <c r="D43" s="394">
        <f t="shared" si="14"/>
        <v>-6.1379999999999997E-2</v>
      </c>
      <c r="E43" s="394">
        <f t="shared" si="14"/>
        <v>-5.0910000000000004E-2</v>
      </c>
      <c r="F43" s="394">
        <f t="shared" si="14"/>
        <v>-4.965E-2</v>
      </c>
      <c r="G43" s="394">
        <f t="shared" si="14"/>
        <v>-8.6400000000000001E-3</v>
      </c>
      <c r="H43" s="394">
        <f t="shared" si="14"/>
        <v>-5.4480000000000001E-2</v>
      </c>
      <c r="I43" s="395">
        <f t="shared" si="14"/>
        <v>-0.3</v>
      </c>
    </row>
    <row r="44" spans="1:10" s="10" customFormat="1" outlineLevel="1" x14ac:dyDescent="0.25">
      <c r="A44" s="396" t="s">
        <v>450</v>
      </c>
      <c r="B44" s="395">
        <f>-SUM(B21)</f>
        <v>-0.23711600000000005</v>
      </c>
      <c r="C44" s="395">
        <f t="shared" ref="C44:I44" si="15">-SUM(C21)</f>
        <v>0</v>
      </c>
      <c r="D44" s="395">
        <f t="shared" si="15"/>
        <v>-0.19419950000000005</v>
      </c>
      <c r="E44" s="395">
        <f t="shared" si="15"/>
        <v>-0.16110050000000004</v>
      </c>
      <c r="F44" s="395">
        <f t="shared" si="15"/>
        <v>-0.15708000000000005</v>
      </c>
      <c r="G44" s="395">
        <f t="shared" si="15"/>
        <v>-1.3090000000000003E-2</v>
      </c>
      <c r="H44" s="395">
        <f t="shared" si="15"/>
        <v>-0.17241400000000004</v>
      </c>
      <c r="I44" s="395">
        <f t="shared" si="15"/>
        <v>-0.93500000000000005</v>
      </c>
    </row>
    <row r="45" spans="1:10" s="10" customFormat="1" outlineLevel="1" x14ac:dyDescent="0.25">
      <c r="A45" s="396" t="s">
        <v>447</v>
      </c>
      <c r="B45" s="395">
        <f>-SUM(B22)</f>
        <v>3.8040000000000004E-2</v>
      </c>
      <c r="C45" s="395">
        <f t="shared" ref="C45:I45" si="16">-SUM(C22)</f>
        <v>0</v>
      </c>
      <c r="D45" s="395">
        <f t="shared" si="16"/>
        <v>3.1155000000000006E-2</v>
      </c>
      <c r="E45" s="395">
        <f t="shared" si="16"/>
        <v>2.5845000000000003E-2</v>
      </c>
      <c r="F45" s="395">
        <f t="shared" si="16"/>
        <v>2.5200000000000004E-2</v>
      </c>
      <c r="G45" s="395">
        <f t="shared" si="16"/>
        <v>2.1000000000000003E-3</v>
      </c>
      <c r="H45" s="395">
        <f t="shared" si="16"/>
        <v>2.7660000000000004E-2</v>
      </c>
      <c r="I45" s="395">
        <f t="shared" si="16"/>
        <v>0.15</v>
      </c>
    </row>
    <row r="46" spans="1:10" s="10" customFormat="1" outlineLevel="1" x14ac:dyDescent="0.25">
      <c r="A46" s="358" t="s">
        <v>482</v>
      </c>
      <c r="B46" s="395">
        <f>-SUM(B34)</f>
        <v>-9.4920000000000004E-3</v>
      </c>
      <c r="C46" s="395">
        <f t="shared" ref="C46:I46" si="17">-SUM(C34)</f>
        <v>0</v>
      </c>
      <c r="D46" s="395">
        <f t="shared" si="17"/>
        <v>-7.7749999999999998E-3</v>
      </c>
      <c r="E46" s="395">
        <f t="shared" si="17"/>
        <v>-6.4479999999999997E-3</v>
      </c>
      <c r="F46" s="395">
        <f t="shared" si="17"/>
        <v>-6.2890000000000003E-3</v>
      </c>
      <c r="G46" s="395">
        <f t="shared" si="17"/>
        <v>-1.0939999999999999E-3</v>
      </c>
      <c r="H46" s="395">
        <f t="shared" si="17"/>
        <v>-6.9020000000000001E-3</v>
      </c>
      <c r="I46" s="395">
        <f t="shared" si="17"/>
        <v>-3.7999999999999999E-2</v>
      </c>
    </row>
    <row r="47" spans="1:10" s="10" customFormat="1" x14ac:dyDescent="0.25">
      <c r="A47" s="34" t="s">
        <v>452</v>
      </c>
      <c r="B47" s="35"/>
      <c r="C47" s="35"/>
      <c r="D47" s="35"/>
      <c r="E47" s="35"/>
      <c r="F47" s="35"/>
      <c r="G47" s="35"/>
      <c r="H47" s="35"/>
      <c r="I47" s="36"/>
    </row>
    <row r="48" spans="1:10" s="10" customFormat="1" outlineLevel="1" x14ac:dyDescent="0.25">
      <c r="A48" s="166" t="s">
        <v>453</v>
      </c>
      <c r="B48" s="167">
        <f t="shared" ref="B48:H48" si="18">$I48*B$67</f>
        <v>0.84173022589027058</v>
      </c>
      <c r="C48" s="167">
        <f t="shared" si="18"/>
        <v>1.2995585333558992</v>
      </c>
      <c r="D48" s="167">
        <f t="shared" si="18"/>
        <v>0.60355049926827076</v>
      </c>
      <c r="E48" s="167">
        <f t="shared" si="18"/>
        <v>0.64927055339999995</v>
      </c>
      <c r="F48" s="167">
        <f t="shared" si="18"/>
        <v>0.69179641004708958</v>
      </c>
      <c r="G48" s="167">
        <f t="shared" si="18"/>
        <v>0.37597415552480412</v>
      </c>
      <c r="H48" s="167">
        <f t="shared" si="18"/>
        <v>0.51511949999999995</v>
      </c>
      <c r="I48" s="179">
        <v>4.9770000000000003</v>
      </c>
    </row>
    <row r="49" spans="1:10" s="10" customFormat="1" outlineLevel="1" x14ac:dyDescent="0.25">
      <c r="A49" s="22" t="s">
        <v>317</v>
      </c>
      <c r="B49" s="24">
        <v>4.42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179">
        <v>4.42</v>
      </c>
    </row>
    <row r="50" spans="1:10" ht="18.75" customHeight="1" x14ac:dyDescent="0.25"/>
    <row r="51" spans="1:10" s="10" customFormat="1" x14ac:dyDescent="0.25">
      <c r="A51" s="20" t="s">
        <v>386</v>
      </c>
      <c r="B51" s="21">
        <f t="shared" ref="B51:G51" si="19">SUM(B38:B50)</f>
        <v>33.195042468672426</v>
      </c>
      <c r="C51" s="21">
        <f t="shared" si="19"/>
        <v>43.970783275836531</v>
      </c>
      <c r="D51" s="21">
        <f t="shared" si="19"/>
        <v>20.66879134081416</v>
      </c>
      <c r="E51" s="21">
        <f t="shared" si="19"/>
        <v>22.80734692885607</v>
      </c>
      <c r="F51" s="21">
        <f t="shared" si="19"/>
        <v>23.449016499363978</v>
      </c>
      <c r="G51" s="21">
        <f t="shared" si="19"/>
        <v>12.657453953499456</v>
      </c>
      <c r="H51" s="21">
        <f>SUM(H38:H50)</f>
        <v>17.631978592612228</v>
      </c>
      <c r="I51" s="21">
        <f>SUM(B51:H51)</f>
        <v>174.38041305965484</v>
      </c>
    </row>
    <row r="52" spans="1:10" s="10" customFormat="1" x14ac:dyDescent="0.25">
      <c r="A52" s="34" t="s">
        <v>390</v>
      </c>
      <c r="B52" s="35"/>
      <c r="C52" s="35"/>
      <c r="D52" s="35"/>
      <c r="E52" s="35"/>
      <c r="F52" s="35"/>
      <c r="G52" s="35"/>
      <c r="H52" s="35"/>
      <c r="I52" s="36"/>
    </row>
    <row r="53" spans="1:10" s="10" customFormat="1" outlineLevel="1" x14ac:dyDescent="0.25">
      <c r="A53" s="22" t="s">
        <v>32</v>
      </c>
      <c r="B53" s="167">
        <f>B51*0.02</f>
        <v>0.66390084937344851</v>
      </c>
      <c r="C53" s="167">
        <f t="shared" ref="C53:I53" si="20">C51*0.02</f>
        <v>0.87941566551673067</v>
      </c>
      <c r="D53" s="167">
        <f t="shared" si="20"/>
        <v>0.41337582681628321</v>
      </c>
      <c r="E53" s="167">
        <f t="shared" si="20"/>
        <v>0.45614693857712141</v>
      </c>
      <c r="F53" s="167">
        <f t="shared" si="20"/>
        <v>0.46898032998727956</v>
      </c>
      <c r="G53" s="167">
        <f t="shared" si="20"/>
        <v>0.25314907906998912</v>
      </c>
      <c r="H53" s="167">
        <f t="shared" si="20"/>
        <v>0.35263957185224454</v>
      </c>
      <c r="I53" s="179">
        <f t="shared" si="20"/>
        <v>3.4876082611930967</v>
      </c>
    </row>
    <row r="54" spans="1:10" s="10" customFormat="1" outlineLevel="1" x14ac:dyDescent="0.25">
      <c r="A54" s="166" t="s">
        <v>389</v>
      </c>
      <c r="B54" s="167">
        <f t="shared" ref="B54:H56" si="21">$I54*B$67</f>
        <v>3.8898523599510191E-3</v>
      </c>
      <c r="C54" s="167">
        <f t="shared" si="21"/>
        <v>6.0055949903929434E-3</v>
      </c>
      <c r="D54" s="167">
        <f t="shared" si="21"/>
        <v>2.7891624438758744E-3</v>
      </c>
      <c r="E54" s="167">
        <f t="shared" si="21"/>
        <v>3.0004465999999997E-3</v>
      </c>
      <c r="F54" s="167">
        <f t="shared" si="21"/>
        <v>3.1969695461288045E-3</v>
      </c>
      <c r="G54" s="167">
        <f t="shared" si="21"/>
        <v>1.737473493484126E-3</v>
      </c>
      <c r="H54" s="167">
        <f t="shared" si="21"/>
        <v>2.3804999999999998E-3</v>
      </c>
      <c r="I54" s="179">
        <v>2.3E-2</v>
      </c>
    </row>
    <row r="55" spans="1:10" s="10" customFormat="1" outlineLevel="1" x14ac:dyDescent="0.25">
      <c r="A55" s="166" t="s">
        <v>387</v>
      </c>
      <c r="B55" s="167">
        <f t="shared" si="21"/>
        <v>0.12921074795663387</v>
      </c>
      <c r="C55" s="167">
        <f t="shared" si="21"/>
        <v>0.19949019881131344</v>
      </c>
      <c r="D55" s="167">
        <f t="shared" si="21"/>
        <v>9.2648700309616014E-2</v>
      </c>
      <c r="E55" s="167">
        <f t="shared" si="21"/>
        <v>9.9667008799999998E-2</v>
      </c>
      <c r="F55" s="167">
        <f t="shared" si="21"/>
        <v>0.10619498840184377</v>
      </c>
      <c r="G55" s="167">
        <f t="shared" si="21"/>
        <v>5.7714336913994441E-2</v>
      </c>
      <c r="H55" s="167">
        <f t="shared" si="21"/>
        <v>7.9073999999999992E-2</v>
      </c>
      <c r="I55" s="179">
        <v>0.76400000000000001</v>
      </c>
    </row>
    <row r="56" spans="1:10" s="10" customFormat="1" outlineLevel="1" x14ac:dyDescent="0.25">
      <c r="A56" s="166" t="s">
        <v>388</v>
      </c>
      <c r="B56" s="167">
        <f t="shared" si="21"/>
        <v>2.9765826754407799E-2</v>
      </c>
      <c r="C56" s="167">
        <f t="shared" si="21"/>
        <v>4.5955857317789478E-2</v>
      </c>
      <c r="D56" s="167">
        <f t="shared" si="21"/>
        <v>2.134315609226756E-2</v>
      </c>
      <c r="E56" s="167">
        <f t="shared" si="21"/>
        <v>2.2959939199999998E-2</v>
      </c>
      <c r="F56" s="167">
        <f t="shared" si="21"/>
        <v>2.4463766961681285E-2</v>
      </c>
      <c r="G56" s="167">
        <f t="shared" si="21"/>
        <v>1.3295449341443746E-2</v>
      </c>
      <c r="H56" s="167">
        <f t="shared" si="21"/>
        <v>1.8216E-2</v>
      </c>
      <c r="I56" s="179">
        <v>0.17599999999999999</v>
      </c>
    </row>
    <row r="57" spans="1:10" s="10" customFormat="1" outlineLevel="1" x14ac:dyDescent="0.25">
      <c r="A57" s="22" t="s">
        <v>26</v>
      </c>
      <c r="B57" s="167">
        <v>0.224</v>
      </c>
      <c r="C57" s="167">
        <v>0.25</v>
      </c>
      <c r="D57" s="167">
        <v>0.16900000000000001</v>
      </c>
      <c r="E57" s="167">
        <v>0.189</v>
      </c>
      <c r="F57" s="167">
        <v>0.14299999999999999</v>
      </c>
      <c r="G57" s="167">
        <v>4.7E-2</v>
      </c>
      <c r="H57" s="167">
        <v>0.152</v>
      </c>
      <c r="I57" s="179">
        <f>SUM(B57:H57)</f>
        <v>1.1739999999999999</v>
      </c>
      <c r="J57" t="s">
        <v>419</v>
      </c>
    </row>
    <row r="58" spans="1:10" s="10" customFormat="1" x14ac:dyDescent="0.25">
      <c r="A58" s="34" t="s">
        <v>420</v>
      </c>
      <c r="B58" s="35"/>
      <c r="C58" s="35"/>
      <c r="D58" s="35"/>
      <c r="E58" s="35"/>
      <c r="F58" s="35"/>
      <c r="G58" s="35"/>
      <c r="H58" s="35"/>
      <c r="I58" s="36"/>
    </row>
    <row r="59" spans="1:10" s="10" customFormat="1" outlineLevel="1" x14ac:dyDescent="0.25">
      <c r="A59" s="166" t="s">
        <v>445</v>
      </c>
      <c r="B59" s="167">
        <f t="shared" ref="B59:H59" si="22">$I59*B$67</f>
        <v>0.33824803130008863</v>
      </c>
      <c r="C59" s="167">
        <f t="shared" si="22"/>
        <v>0.52222565133851684</v>
      </c>
      <c r="D59" s="167">
        <f t="shared" si="22"/>
        <v>0.24253586468485866</v>
      </c>
      <c r="E59" s="167">
        <f t="shared" si="22"/>
        <v>0.26090839999999998</v>
      </c>
      <c r="F59" s="167">
        <f t="shared" si="22"/>
        <v>0.27799735183728735</v>
      </c>
      <c r="G59" s="167">
        <f t="shared" si="22"/>
        <v>0.1510846516073153</v>
      </c>
      <c r="H59" s="167">
        <f t="shared" si="22"/>
        <v>0.20699999999999999</v>
      </c>
      <c r="I59" s="179">
        <v>2</v>
      </c>
    </row>
    <row r="60" spans="1:10" s="10" customFormat="1" x14ac:dyDescent="0.25">
      <c r="A60" s="20" t="s">
        <v>418</v>
      </c>
      <c r="B60" s="21">
        <f t="shared" ref="B60:G60" si="23">SUM(B51:B59)</f>
        <v>34.584057776416955</v>
      </c>
      <c r="C60" s="21">
        <f t="shared" si="23"/>
        <v>45.873876243811274</v>
      </c>
      <c r="D60" s="21">
        <f t="shared" si="23"/>
        <v>21.610484051161059</v>
      </c>
      <c r="E60" s="21">
        <f t="shared" si="23"/>
        <v>23.839029662033195</v>
      </c>
      <c r="F60" s="21">
        <f t="shared" si="23"/>
        <v>24.472849906098197</v>
      </c>
      <c r="G60" s="21">
        <f t="shared" si="23"/>
        <v>13.181434943925682</v>
      </c>
      <c r="H60" s="21">
        <f>SUM(H51:H59)</f>
        <v>18.443288664464472</v>
      </c>
      <c r="I60" s="21">
        <f>SUM(B60:H60)</f>
        <v>182.00502124791083</v>
      </c>
    </row>
    <row r="61" spans="1:10" s="10" customFormat="1" x14ac:dyDescent="0.25">
      <c r="A61" s="34" t="s">
        <v>391</v>
      </c>
      <c r="B61" s="35"/>
      <c r="C61" s="35"/>
      <c r="D61" s="35"/>
      <c r="E61" s="35"/>
      <c r="F61" s="35"/>
      <c r="G61" s="35"/>
      <c r="H61" s="35"/>
      <c r="I61" s="36"/>
    </row>
    <row r="62" spans="1:10" s="10" customFormat="1" x14ac:dyDescent="0.25">
      <c r="A62" s="166" t="s">
        <v>415</v>
      </c>
      <c r="B62" s="167">
        <f>'RF Comm Alloc''s 2021_22'!B19</f>
        <v>0.16230400000000003</v>
      </c>
      <c r="C62" s="167">
        <f>'RF Comm Alloc''s 2021_22'!C19</f>
        <v>0</v>
      </c>
      <c r="D62" s="167">
        <f>'RF Comm Alloc''s 2021_22'!D19</f>
        <v>0.13292800000000005</v>
      </c>
      <c r="E62" s="167">
        <f>'RF Comm Alloc''s 2021_22'!E19</f>
        <v>0.11027200000000002</v>
      </c>
      <c r="F62" s="167">
        <f>'RF Comm Alloc''s 2021_22'!F19</f>
        <v>0.10752000000000003</v>
      </c>
      <c r="G62" s="167">
        <f>'RF Comm Alloc''s 2021_22'!G19</f>
        <v>8.9600000000000009E-3</v>
      </c>
      <c r="H62" s="167">
        <f>'RF Comm Alloc''s 2021_22'!H19</f>
        <v>0.11801600000000002</v>
      </c>
      <c r="I62" s="179">
        <v>0.64</v>
      </c>
      <c r="J62" s="316" t="s">
        <v>394</v>
      </c>
    </row>
    <row r="63" spans="1:10" s="10" customFormat="1" x14ac:dyDescent="0.25">
      <c r="A63" s="20" t="s">
        <v>417</v>
      </c>
      <c r="B63" s="21">
        <f t="shared" ref="B63:I63" si="24">SUM(B60:B62)</f>
        <v>34.746361776416954</v>
      </c>
      <c r="C63" s="21">
        <f t="shared" si="24"/>
        <v>45.873876243811274</v>
      </c>
      <c r="D63" s="21">
        <f t="shared" si="24"/>
        <v>21.743412051161059</v>
      </c>
      <c r="E63" s="21">
        <f t="shared" si="24"/>
        <v>23.949301662033193</v>
      </c>
      <c r="F63" s="21">
        <f t="shared" si="24"/>
        <v>24.580369906098198</v>
      </c>
      <c r="G63" s="21">
        <f t="shared" si="24"/>
        <v>13.190394943925682</v>
      </c>
      <c r="H63" s="21">
        <f t="shared" si="24"/>
        <v>18.561304664464473</v>
      </c>
      <c r="I63" s="21">
        <f t="shared" si="24"/>
        <v>182.64502124791082</v>
      </c>
    </row>
    <row r="64" spans="1:10" s="10" customFormat="1" x14ac:dyDescent="0.25">
      <c r="A64" s="307"/>
      <c r="B64" s="314"/>
      <c r="C64" s="314"/>
      <c r="D64" s="314"/>
      <c r="E64" s="314"/>
      <c r="F64" s="314"/>
      <c r="G64" s="314"/>
      <c r="H64" s="314"/>
      <c r="I64" s="315"/>
    </row>
    <row r="65" spans="1:9" ht="15.75" thickBot="1" x14ac:dyDescent="0.3">
      <c r="A65" s="15"/>
    </row>
    <row r="66" spans="1:9" ht="15.75" thickBot="1" x14ac:dyDescent="0.3">
      <c r="A66" t="s">
        <v>64</v>
      </c>
      <c r="B66" s="168" t="s">
        <v>11</v>
      </c>
      <c r="C66" s="168" t="s">
        <v>12</v>
      </c>
      <c r="D66" s="168" t="s">
        <v>13</v>
      </c>
      <c r="E66" s="168" t="s">
        <v>19</v>
      </c>
      <c r="F66" s="168" t="s">
        <v>14</v>
      </c>
      <c r="G66" s="168" t="s">
        <v>20</v>
      </c>
      <c r="H66" s="168" t="s">
        <v>18</v>
      </c>
      <c r="I66" s="168" t="s">
        <v>17</v>
      </c>
    </row>
    <row r="67" spans="1:9" x14ac:dyDescent="0.25">
      <c r="B67" s="169">
        <v>0.16912401565004431</v>
      </c>
      <c r="C67" s="169">
        <v>0.26111282566925842</v>
      </c>
      <c r="D67" s="169">
        <v>0.12126793234242933</v>
      </c>
      <c r="E67" s="169">
        <v>0.13045419999999999</v>
      </c>
      <c r="F67" s="169">
        <v>0.13899867591864368</v>
      </c>
      <c r="G67" s="169">
        <v>7.5542325803657648E-2</v>
      </c>
      <c r="H67" s="169">
        <v>0.10349999999999999</v>
      </c>
      <c r="I67" s="169">
        <f>SUM(B67:H67)</f>
        <v>0.99999997538403329</v>
      </c>
    </row>
    <row r="68" spans="1:9" x14ac:dyDescent="0.25">
      <c r="B68" s="8"/>
      <c r="C68" s="8"/>
      <c r="D68" s="8"/>
      <c r="E68" s="8"/>
      <c r="F68" s="8"/>
      <c r="G68" s="8"/>
      <c r="H68" s="8"/>
    </row>
  </sheetData>
  <mergeCells count="9">
    <mergeCell ref="J8:J11"/>
    <mergeCell ref="E4:E5"/>
    <mergeCell ref="F4:F5"/>
    <mergeCell ref="G4:G5"/>
    <mergeCell ref="A4:A6"/>
    <mergeCell ref="B4:B5"/>
    <mergeCell ref="C4:C5"/>
    <mergeCell ref="D4:D5"/>
    <mergeCell ref="H4:H5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showGridLines="0" zoomScaleNormal="100" workbookViewId="0">
      <selection activeCell="A3" sqref="A3"/>
    </sheetView>
  </sheetViews>
  <sheetFormatPr defaultRowHeight="15" x14ac:dyDescent="0.25"/>
  <cols>
    <col min="1" max="1" width="67.7109375" bestFit="1" customWidth="1"/>
    <col min="2" max="10" width="15.140625" customWidth="1"/>
  </cols>
  <sheetData>
    <row r="1" spans="1:10" x14ac:dyDescent="0.25">
      <c r="A1" s="10" t="s">
        <v>478</v>
      </c>
    </row>
    <row r="2" spans="1:10" x14ac:dyDescent="0.25">
      <c r="A2" s="138" t="s">
        <v>479</v>
      </c>
    </row>
    <row r="3" spans="1:10" ht="15.75" thickBot="1" x14ac:dyDescent="0.3"/>
    <row r="4" spans="1:10" ht="20.25" customHeight="1" x14ac:dyDescent="0.25">
      <c r="A4" s="16" t="s">
        <v>476</v>
      </c>
      <c r="B4" s="361" t="s">
        <v>0</v>
      </c>
      <c r="C4" s="361" t="s">
        <v>1</v>
      </c>
      <c r="D4" s="361" t="s">
        <v>2</v>
      </c>
      <c r="E4" s="361" t="s">
        <v>65</v>
      </c>
      <c r="F4" s="361" t="s">
        <v>4</v>
      </c>
      <c r="G4" s="361" t="s">
        <v>5</v>
      </c>
      <c r="H4" s="361" t="s">
        <v>29</v>
      </c>
      <c r="I4" s="361" t="s">
        <v>154</v>
      </c>
      <c r="J4" s="361" t="s">
        <v>153</v>
      </c>
    </row>
    <row r="5" spans="1:10" ht="24" customHeight="1" thickBot="1" x14ac:dyDescent="0.3">
      <c r="A5" s="17" t="s">
        <v>10</v>
      </c>
      <c r="B5" s="362"/>
      <c r="C5" s="362"/>
      <c r="D5" s="362"/>
      <c r="E5" s="362"/>
      <c r="F5" s="362"/>
      <c r="G5" s="362"/>
      <c r="H5" s="362"/>
      <c r="I5" s="362"/>
      <c r="J5" s="362"/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  <c r="J6" s="3" t="s">
        <v>8</v>
      </c>
    </row>
    <row r="7" spans="1:10" x14ac:dyDescent="0.25">
      <c r="A7" s="20" t="s">
        <v>438</v>
      </c>
      <c r="B7" s="25">
        <v>2.834775</v>
      </c>
      <c r="C7" s="25">
        <v>4.9143772400000003</v>
      </c>
      <c r="D7" s="25">
        <v>4.6263762200000009</v>
      </c>
      <c r="E7" s="25">
        <v>2.0449659999999996</v>
      </c>
      <c r="F7" s="25">
        <v>3.2550265400000007</v>
      </c>
      <c r="G7" s="25">
        <v>1.06953228</v>
      </c>
      <c r="H7" s="25">
        <v>4.6102444004085426</v>
      </c>
      <c r="I7" s="25">
        <v>0.677477</v>
      </c>
      <c r="J7" s="25">
        <f t="shared" ref="J7:J12" si="0">SUM(B7:I7)</f>
        <v>24.032774680408544</v>
      </c>
    </row>
    <row r="8" spans="1:10" x14ac:dyDescent="0.25">
      <c r="A8" s="26" t="s">
        <v>442</v>
      </c>
      <c r="B8" s="24">
        <v>3.7999999999999999E-2</v>
      </c>
      <c r="C8" s="24">
        <v>5.7000000000000002E-2</v>
      </c>
      <c r="D8" s="24">
        <v>4.8000000000000001E-2</v>
      </c>
      <c r="E8" s="24">
        <v>2.7E-2</v>
      </c>
      <c r="F8" s="24">
        <v>3.5999999999999997E-2</v>
      </c>
      <c r="G8" s="24">
        <v>1.6E-2</v>
      </c>
      <c r="H8" s="24">
        <v>4.4999999999999998E-2</v>
      </c>
      <c r="I8" s="24">
        <v>5.0000000000000001E-3</v>
      </c>
      <c r="J8" s="24">
        <f t="shared" si="0"/>
        <v>0.27200000000000002</v>
      </c>
    </row>
    <row r="9" spans="1:10" x14ac:dyDescent="0.25">
      <c r="A9" s="26" t="s">
        <v>155</v>
      </c>
      <c r="B9" s="24">
        <v>0</v>
      </c>
      <c r="C9" s="24">
        <v>0</v>
      </c>
      <c r="D9" s="24">
        <v>0</v>
      </c>
      <c r="E9" s="24">
        <f>'NEPTS 21 22'!G30/1000000</f>
        <v>0.121249</v>
      </c>
      <c r="F9" s="24">
        <f>'NEPTS 21 22'!G35/1000000</f>
        <v>3.3078999999999997E-2</v>
      </c>
      <c r="G9" s="24">
        <f>'NEPTS 21 22'!G39/1000000</f>
        <v>0.33667913999999999</v>
      </c>
      <c r="H9" s="24">
        <v>0</v>
      </c>
      <c r="I9" s="24">
        <v>0</v>
      </c>
      <c r="J9" s="24">
        <f t="shared" si="0"/>
        <v>0.49100714000000001</v>
      </c>
    </row>
    <row r="10" spans="1:10" x14ac:dyDescent="0.25">
      <c r="A10" s="20" t="s">
        <v>441</v>
      </c>
      <c r="B10" s="25">
        <f>SUM(B7:B9)</f>
        <v>2.8727749999999999</v>
      </c>
      <c r="C10" s="25">
        <f t="shared" ref="C10:I10" si="1">SUM(C7:C9)</f>
        <v>4.9713772400000007</v>
      </c>
      <c r="D10" s="25">
        <f t="shared" si="1"/>
        <v>4.674376220000001</v>
      </c>
      <c r="E10" s="25">
        <f t="shared" si="1"/>
        <v>2.1932149999999999</v>
      </c>
      <c r="F10" s="25">
        <f t="shared" si="1"/>
        <v>3.3241055400000006</v>
      </c>
      <c r="G10" s="25">
        <f t="shared" si="1"/>
        <v>1.42221142</v>
      </c>
      <c r="H10" s="25">
        <f t="shared" si="1"/>
        <v>4.6552444004085425</v>
      </c>
      <c r="I10" s="25">
        <f t="shared" si="1"/>
        <v>0.682477</v>
      </c>
      <c r="J10" s="25">
        <f t="shared" si="0"/>
        <v>24.795781820408543</v>
      </c>
    </row>
    <row r="11" spans="1:10" x14ac:dyDescent="0.25">
      <c r="A11" s="26" t="s">
        <v>443</v>
      </c>
      <c r="B11" s="24">
        <f>B10*0.02</f>
        <v>5.74555E-2</v>
      </c>
      <c r="C11" s="24">
        <f t="shared" ref="C11:I11" si="2">C10*0.02</f>
        <v>9.9427544800000017E-2</v>
      </c>
      <c r="D11" s="24">
        <f>SUM('NEPTS 21 22'!K24:K27)/1000000</f>
        <v>7.9896844400000014E-2</v>
      </c>
      <c r="E11" s="24">
        <f t="shared" si="2"/>
        <v>4.3864300000000002E-2</v>
      </c>
      <c r="F11" s="24">
        <f t="shared" si="2"/>
        <v>6.6482110800000008E-2</v>
      </c>
      <c r="G11" s="24">
        <f t="shared" si="2"/>
        <v>2.84442284E-2</v>
      </c>
      <c r="H11" s="24">
        <f t="shared" si="2"/>
        <v>9.310488800817085E-2</v>
      </c>
      <c r="I11" s="24">
        <f t="shared" si="2"/>
        <v>1.364954E-2</v>
      </c>
      <c r="J11" s="24">
        <f t="shared" si="0"/>
        <v>0.48232495640817091</v>
      </c>
    </row>
    <row r="12" spans="1:10" x14ac:dyDescent="0.25">
      <c r="A12" s="20" t="s">
        <v>460</v>
      </c>
      <c r="B12" s="25">
        <f>SUM(B10:B11)</f>
        <v>2.9302305</v>
      </c>
      <c r="C12" s="25">
        <f t="shared" ref="C12:I12" si="3">SUM(C10:C11)</f>
        <v>5.0708047848000009</v>
      </c>
      <c r="D12" s="25">
        <f t="shared" si="3"/>
        <v>4.7542730644000013</v>
      </c>
      <c r="E12" s="25">
        <f t="shared" si="3"/>
        <v>2.2370793</v>
      </c>
      <c r="F12" s="25">
        <f t="shared" si="3"/>
        <v>3.3905876508000006</v>
      </c>
      <c r="G12" s="25">
        <f t="shared" si="3"/>
        <v>1.4506556483999999</v>
      </c>
      <c r="H12" s="25">
        <f t="shared" si="3"/>
        <v>4.7483492884167138</v>
      </c>
      <c r="I12" s="25">
        <f t="shared" si="3"/>
        <v>0.69612653999999996</v>
      </c>
      <c r="J12" s="25">
        <f t="shared" si="0"/>
        <v>25.27810677681672</v>
      </c>
    </row>
    <row r="13" spans="1:10" x14ac:dyDescent="0.25">
      <c r="J13" s="41"/>
    </row>
    <row r="15" spans="1:10" x14ac:dyDescent="0.25">
      <c r="A15" t="s">
        <v>444</v>
      </c>
    </row>
  </sheetData>
  <mergeCells count="9">
    <mergeCell ref="I4:I5"/>
    <mergeCell ref="J4:J5"/>
    <mergeCell ref="F4:F5"/>
    <mergeCell ref="G4:G5"/>
    <mergeCell ref="B4:B5"/>
    <mergeCell ref="C4:C5"/>
    <mergeCell ref="D4:D5"/>
    <mergeCell ref="E4:E5"/>
    <mergeCell ref="H4:H5"/>
  </mergeCells>
  <pageMargins left="0.70866141732283472" right="0.70866141732283472" top="0.74803149606299213" bottom="0.74803149606299213" header="0.31496062992125984" footer="0.31496062992125984"/>
  <pageSetup paperSize="8" scale="9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11"/>
  <sheetViews>
    <sheetView topLeftCell="A28" zoomScale="85" zoomScaleNormal="85" workbookViewId="0">
      <selection activeCell="S80" sqref="S80"/>
    </sheetView>
  </sheetViews>
  <sheetFormatPr defaultRowHeight="15" x14ac:dyDescent="0.25"/>
  <cols>
    <col min="1" max="1" width="22.28515625" customWidth="1"/>
    <col min="2" max="2" width="19.140625" customWidth="1"/>
    <col min="3" max="12" width="14.42578125" customWidth="1"/>
    <col min="13" max="13" width="20.85546875" bestFit="1" customWidth="1"/>
    <col min="14" max="14" width="3.7109375" style="42" customWidth="1"/>
    <col min="15" max="15" width="18" customWidth="1"/>
    <col min="17" max="19" width="17.42578125" customWidth="1"/>
    <col min="20" max="20" width="10.5703125" bestFit="1" customWidth="1"/>
  </cols>
  <sheetData>
    <row r="3" spans="1:19" ht="15.75" thickBot="1" x14ac:dyDescent="0.3"/>
    <row r="4" spans="1:19" ht="15.75" thickBot="1" x14ac:dyDescent="0.3">
      <c r="A4" s="380"/>
      <c r="B4" s="381"/>
      <c r="C4" s="382" t="s">
        <v>72</v>
      </c>
      <c r="D4" s="383"/>
      <c r="E4" s="383"/>
      <c r="F4" s="384"/>
      <c r="G4" s="382" t="s">
        <v>73</v>
      </c>
      <c r="H4" s="384"/>
      <c r="I4" s="382" t="s">
        <v>74</v>
      </c>
      <c r="J4" s="384"/>
      <c r="K4" s="382" t="s">
        <v>75</v>
      </c>
      <c r="L4" s="383"/>
      <c r="M4" s="43" t="s">
        <v>76</v>
      </c>
      <c r="N4" s="44"/>
      <c r="O4" s="43" t="s">
        <v>76</v>
      </c>
    </row>
    <row r="5" spans="1:19" ht="15" customHeight="1" x14ac:dyDescent="0.25">
      <c r="A5" s="361" t="s">
        <v>77</v>
      </c>
      <c r="B5" s="361" t="s">
        <v>78</v>
      </c>
      <c r="C5" s="361" t="s">
        <v>79</v>
      </c>
      <c r="D5" s="361" t="s">
        <v>80</v>
      </c>
      <c r="E5" s="361" t="s">
        <v>81</v>
      </c>
      <c r="F5" s="361" t="s">
        <v>82</v>
      </c>
      <c r="G5" s="361" t="s">
        <v>83</v>
      </c>
      <c r="H5" s="361" t="s">
        <v>84</v>
      </c>
      <c r="I5" s="361" t="s">
        <v>85</v>
      </c>
      <c r="J5" s="361" t="s">
        <v>86</v>
      </c>
      <c r="K5" s="45">
        <v>0.02</v>
      </c>
      <c r="L5" s="46">
        <v>0.01</v>
      </c>
      <c r="M5" s="376" t="s">
        <v>87</v>
      </c>
      <c r="N5" s="44"/>
      <c r="O5" s="376" t="s">
        <v>87</v>
      </c>
    </row>
    <row r="6" spans="1:19" ht="30.75" thickBot="1" x14ac:dyDescent="0.3">
      <c r="A6" s="385"/>
      <c r="B6" s="385"/>
      <c r="C6" s="362"/>
      <c r="D6" s="362"/>
      <c r="E6" s="362"/>
      <c r="F6" s="362"/>
      <c r="G6" s="362"/>
      <c r="H6" s="362"/>
      <c r="I6" s="362"/>
      <c r="J6" s="362"/>
      <c r="K6" s="3" t="s">
        <v>88</v>
      </c>
      <c r="L6" s="47" t="s">
        <v>89</v>
      </c>
      <c r="M6" s="376"/>
      <c r="N6" s="44"/>
      <c r="O6" s="376"/>
    </row>
    <row r="7" spans="1:19" ht="15.75" thickBot="1" x14ac:dyDescent="0.3">
      <c r="A7" s="362"/>
      <c r="B7" s="362"/>
      <c r="C7" s="3" t="s">
        <v>90</v>
      </c>
      <c r="D7" s="3" t="s">
        <v>90</v>
      </c>
      <c r="E7" s="3" t="s">
        <v>90</v>
      </c>
      <c r="F7" s="3" t="s">
        <v>90</v>
      </c>
      <c r="G7" s="3" t="s">
        <v>90</v>
      </c>
      <c r="H7" s="3" t="s">
        <v>90</v>
      </c>
      <c r="I7" s="3" t="s">
        <v>90</v>
      </c>
      <c r="J7" s="3" t="s">
        <v>90</v>
      </c>
      <c r="K7" s="3" t="s">
        <v>90</v>
      </c>
      <c r="L7" s="47" t="s">
        <v>90</v>
      </c>
      <c r="M7" s="43" t="s">
        <v>90</v>
      </c>
      <c r="N7" s="44"/>
      <c r="O7" s="43" t="s">
        <v>90</v>
      </c>
    </row>
    <row r="8" spans="1:19" ht="15.75" thickBot="1" x14ac:dyDescent="0.3">
      <c r="A8" s="377" t="s">
        <v>91</v>
      </c>
      <c r="B8" s="48" t="s">
        <v>92</v>
      </c>
      <c r="C8" s="49">
        <v>3292316</v>
      </c>
      <c r="D8" s="49">
        <v>65846</v>
      </c>
      <c r="E8" s="50"/>
      <c r="F8" s="49">
        <v>3358162</v>
      </c>
      <c r="G8" s="50"/>
      <c r="H8" s="51">
        <v>-614773</v>
      </c>
      <c r="I8" s="49">
        <v>38626</v>
      </c>
      <c r="J8" s="49">
        <v>37555</v>
      </c>
      <c r="K8" s="49">
        <v>67163</v>
      </c>
      <c r="L8" s="52">
        <v>33582</v>
      </c>
      <c r="M8" s="53">
        <v>3535088</v>
      </c>
      <c r="N8" s="54"/>
      <c r="O8" s="53">
        <f>H8+I8+J8+K8+L8+F8</f>
        <v>2920315</v>
      </c>
      <c r="S8" t="s">
        <v>93</v>
      </c>
    </row>
    <row r="9" spans="1:19" ht="15.75" thickBot="1" x14ac:dyDescent="0.3">
      <c r="A9" s="378"/>
      <c r="B9" s="48" t="s">
        <v>94</v>
      </c>
      <c r="C9" s="49">
        <v>133615</v>
      </c>
      <c r="D9" s="49">
        <v>2672</v>
      </c>
      <c r="E9" s="50"/>
      <c r="F9" s="49">
        <v>136287</v>
      </c>
      <c r="G9" s="50"/>
      <c r="H9" s="51">
        <v>-46338</v>
      </c>
      <c r="I9" s="49">
        <v>1568</v>
      </c>
      <c r="J9" s="49">
        <v>1524</v>
      </c>
      <c r="K9" s="49">
        <v>2726</v>
      </c>
      <c r="L9" s="52">
        <v>1363</v>
      </c>
      <c r="M9" s="53">
        <v>143468</v>
      </c>
      <c r="N9" s="54"/>
      <c r="O9" s="53">
        <f>H9+I9+J9+K9+L9+F9</f>
        <v>97130</v>
      </c>
    </row>
    <row r="10" spans="1:19" ht="15.75" thickBot="1" x14ac:dyDescent="0.3">
      <c r="A10" s="55"/>
      <c r="B10" s="48"/>
      <c r="C10" s="49"/>
      <c r="D10" s="49"/>
      <c r="E10" s="50"/>
      <c r="F10" s="49"/>
      <c r="G10" s="50"/>
      <c r="H10" s="56">
        <v>1497052.87</v>
      </c>
      <c r="I10" s="49"/>
      <c r="J10" s="49"/>
      <c r="K10" s="49"/>
      <c r="L10" s="52"/>
      <c r="M10" s="53"/>
      <c r="N10" s="57"/>
      <c r="O10" s="58">
        <f>H10+I10+J10+K10+L10+F10</f>
        <v>1497052.87</v>
      </c>
    </row>
    <row r="11" spans="1:19" ht="15.75" thickBot="1" x14ac:dyDescent="0.3">
      <c r="A11" s="55"/>
      <c r="B11" s="48"/>
      <c r="C11" s="49"/>
      <c r="D11" s="49"/>
      <c r="E11" s="50"/>
      <c r="F11" s="49"/>
      <c r="G11" s="50"/>
      <c r="H11" s="56"/>
      <c r="I11" s="49"/>
      <c r="J11" s="49"/>
      <c r="K11" s="49"/>
      <c r="L11" s="52"/>
      <c r="M11" s="53"/>
      <c r="N11" s="57"/>
      <c r="O11" s="53"/>
    </row>
    <row r="12" spans="1:19" ht="15.75" thickBot="1" x14ac:dyDescent="0.3">
      <c r="A12" s="377" t="s">
        <v>95</v>
      </c>
      <c r="B12" s="48" t="s">
        <v>92</v>
      </c>
      <c r="C12" s="49">
        <v>2049803</v>
      </c>
      <c r="D12" s="49">
        <v>40996</v>
      </c>
      <c r="E12" s="50"/>
      <c r="F12" s="49">
        <v>2090799</v>
      </c>
      <c r="G12" s="50"/>
      <c r="H12" s="56"/>
      <c r="I12" s="49">
        <v>24048</v>
      </c>
      <c r="J12" s="49">
        <v>23382</v>
      </c>
      <c r="K12" s="49">
        <v>41816</v>
      </c>
      <c r="L12" s="52">
        <v>20908</v>
      </c>
      <c r="M12" s="53">
        <v>2200953</v>
      </c>
      <c r="N12" s="54"/>
      <c r="O12" s="53">
        <f>H12+I12+J12+K12+L12+F12</f>
        <v>2200953</v>
      </c>
    </row>
    <row r="13" spans="1:19" ht="15.75" thickBot="1" x14ac:dyDescent="0.3">
      <c r="A13" s="378"/>
      <c r="B13" s="48" t="s">
        <v>96</v>
      </c>
      <c r="C13" s="49">
        <v>500230</v>
      </c>
      <c r="D13" s="49">
        <v>10005</v>
      </c>
      <c r="E13" s="50"/>
      <c r="F13" s="49">
        <v>510235</v>
      </c>
      <c r="G13" s="50"/>
      <c r="H13" s="56"/>
      <c r="I13" s="49">
        <v>5869</v>
      </c>
      <c r="J13" s="49">
        <v>5706</v>
      </c>
      <c r="K13" s="49">
        <v>10205</v>
      </c>
      <c r="L13" s="52">
        <v>5102</v>
      </c>
      <c r="M13" s="53">
        <v>537117</v>
      </c>
      <c r="N13" s="54"/>
      <c r="O13" s="53">
        <f>H13+I13+J13+K13+L13+F13</f>
        <v>537117</v>
      </c>
    </row>
    <row r="14" spans="1:19" ht="15.75" thickBot="1" x14ac:dyDescent="0.3">
      <c r="A14" s="55"/>
      <c r="B14" s="48" t="s">
        <v>97</v>
      </c>
      <c r="C14" s="49"/>
      <c r="D14" s="49"/>
      <c r="E14" s="50"/>
      <c r="F14" s="49"/>
      <c r="G14" s="50"/>
      <c r="H14" s="56">
        <v>153000</v>
      </c>
      <c r="I14" s="49"/>
      <c r="J14" s="49"/>
      <c r="K14" s="49"/>
      <c r="L14" s="52"/>
      <c r="M14" s="53"/>
      <c r="N14" s="57"/>
      <c r="O14" s="58">
        <v>153000</v>
      </c>
    </row>
    <row r="15" spans="1:19" ht="15.75" thickBot="1" x14ac:dyDescent="0.3">
      <c r="A15" s="55"/>
      <c r="B15" s="48"/>
      <c r="C15" s="49"/>
      <c r="D15" s="49"/>
      <c r="E15" s="50"/>
      <c r="F15" s="49"/>
      <c r="G15" s="50"/>
      <c r="H15" s="56"/>
      <c r="I15" s="49"/>
      <c r="J15" s="49"/>
      <c r="K15" s="49"/>
      <c r="L15" s="52"/>
      <c r="M15" s="53"/>
      <c r="N15" s="57"/>
      <c r="O15" s="53"/>
    </row>
    <row r="16" spans="1:19" ht="15.75" thickBot="1" x14ac:dyDescent="0.3">
      <c r="A16" s="377" t="s">
        <v>9</v>
      </c>
      <c r="B16" s="48" t="s">
        <v>92</v>
      </c>
      <c r="C16" s="49">
        <v>4301332</v>
      </c>
      <c r="D16" s="49">
        <v>86027</v>
      </c>
      <c r="E16" s="50"/>
      <c r="F16" s="49">
        <v>4387359</v>
      </c>
      <c r="G16" s="50"/>
      <c r="H16" s="56"/>
      <c r="I16" s="49">
        <v>50463</v>
      </c>
      <c r="J16" s="49">
        <v>49065</v>
      </c>
      <c r="K16" s="49">
        <v>87747</v>
      </c>
      <c r="L16" s="52">
        <v>43874</v>
      </c>
      <c r="M16" s="53">
        <v>4618508</v>
      </c>
      <c r="N16" s="54"/>
      <c r="O16" s="53">
        <v>4618508</v>
      </c>
    </row>
    <row r="17" spans="1:20" ht="15.75" thickBot="1" x14ac:dyDescent="0.3">
      <c r="A17" s="379"/>
      <c r="B17" s="48" t="s">
        <v>98</v>
      </c>
      <c r="C17" s="49">
        <v>39760</v>
      </c>
      <c r="D17" s="59">
        <v>795</v>
      </c>
      <c r="E17" s="50"/>
      <c r="F17" s="49">
        <v>40555</v>
      </c>
      <c r="G17" s="50"/>
      <c r="H17" s="56"/>
      <c r="I17" s="59">
        <v>466</v>
      </c>
      <c r="J17" s="59">
        <v>454</v>
      </c>
      <c r="K17" s="59">
        <v>811</v>
      </c>
      <c r="L17" s="60">
        <v>406</v>
      </c>
      <c r="M17" s="53">
        <v>42692</v>
      </c>
      <c r="N17" s="54"/>
      <c r="O17" s="53">
        <v>42692</v>
      </c>
    </row>
    <row r="18" spans="1:20" ht="15.75" thickBot="1" x14ac:dyDescent="0.3">
      <c r="A18" s="378"/>
      <c r="B18" s="48" t="s">
        <v>94</v>
      </c>
      <c r="C18" s="49">
        <v>139706</v>
      </c>
      <c r="D18" s="49">
        <v>2794</v>
      </c>
      <c r="E18" s="50"/>
      <c r="F18" s="49">
        <v>142500</v>
      </c>
      <c r="G18" s="50"/>
      <c r="H18" s="56"/>
      <c r="I18" s="49">
        <v>1639</v>
      </c>
      <c r="J18" s="49">
        <v>1594</v>
      </c>
      <c r="K18" s="49">
        <v>2850</v>
      </c>
      <c r="L18" s="52">
        <v>1425</v>
      </c>
      <c r="M18" s="53">
        <v>150008</v>
      </c>
      <c r="N18" s="54"/>
      <c r="O18" s="53">
        <v>150008</v>
      </c>
    </row>
    <row r="19" spans="1:20" ht="15.75" thickBot="1" x14ac:dyDescent="0.3">
      <c r="A19" s="55"/>
      <c r="B19" s="48"/>
      <c r="C19" s="49"/>
      <c r="D19" s="49"/>
      <c r="E19" s="50"/>
      <c r="F19" s="49"/>
      <c r="G19" s="50"/>
      <c r="H19" s="56"/>
      <c r="I19" s="49"/>
      <c r="J19" s="49"/>
      <c r="K19" s="49"/>
      <c r="L19" s="52"/>
      <c r="M19" s="53"/>
      <c r="N19" s="54"/>
      <c r="O19" s="53"/>
    </row>
    <row r="20" spans="1:20" ht="15.75" thickBot="1" x14ac:dyDescent="0.3">
      <c r="A20" s="377" t="s">
        <v>99</v>
      </c>
      <c r="B20" s="48" t="s">
        <v>92</v>
      </c>
      <c r="C20" s="49">
        <v>3541440</v>
      </c>
      <c r="D20" s="49">
        <v>70829</v>
      </c>
      <c r="E20" s="50"/>
      <c r="F20" s="49">
        <v>3612269</v>
      </c>
      <c r="G20" s="50"/>
      <c r="H20" s="56"/>
      <c r="I20" s="49">
        <v>41548</v>
      </c>
      <c r="J20" s="49">
        <v>40397</v>
      </c>
      <c r="K20" s="49">
        <v>72245</v>
      </c>
      <c r="L20" s="52">
        <v>36123</v>
      </c>
      <c r="M20" s="53">
        <v>3802582</v>
      </c>
      <c r="N20" s="54"/>
      <c r="O20" s="53">
        <v>3802582</v>
      </c>
    </row>
    <row r="21" spans="1:20" ht="15.75" thickBot="1" x14ac:dyDescent="0.3">
      <c r="A21" s="379"/>
      <c r="B21" s="48"/>
      <c r="C21" s="49"/>
      <c r="D21" s="49"/>
      <c r="E21" s="50"/>
      <c r="F21" s="49"/>
      <c r="G21" s="50"/>
      <c r="H21" s="56"/>
      <c r="I21" s="49"/>
      <c r="J21" s="49"/>
      <c r="K21" s="49"/>
      <c r="L21" s="52"/>
      <c r="M21" s="53"/>
      <c r="N21" s="54"/>
      <c r="O21" s="53"/>
    </row>
    <row r="22" spans="1:20" ht="45.75" thickBot="1" x14ac:dyDescent="0.3">
      <c r="A22" s="379"/>
      <c r="B22" s="48" t="s">
        <v>100</v>
      </c>
      <c r="C22" s="50"/>
      <c r="D22" s="50"/>
      <c r="E22" s="49">
        <v>50000</v>
      </c>
      <c r="F22" s="49">
        <v>50000</v>
      </c>
      <c r="G22" s="50"/>
      <c r="H22" s="56"/>
      <c r="I22" s="50"/>
      <c r="J22" s="50"/>
      <c r="K22" s="49">
        <v>1000</v>
      </c>
      <c r="L22" s="60">
        <v>500</v>
      </c>
      <c r="M22" s="160">
        <v>51500</v>
      </c>
      <c r="N22" s="54"/>
      <c r="O22" s="53"/>
      <c r="P22" t="s">
        <v>159</v>
      </c>
    </row>
    <row r="23" spans="1:20" ht="15.75" thickBot="1" x14ac:dyDescent="0.3">
      <c r="A23" s="379"/>
      <c r="B23" s="48"/>
      <c r="C23" s="50"/>
      <c r="D23" s="50"/>
      <c r="E23" s="152">
        <v>51499.9</v>
      </c>
      <c r="F23" s="49"/>
      <c r="G23" s="50"/>
      <c r="H23" s="56">
        <v>11499.98</v>
      </c>
      <c r="I23" s="50"/>
      <c r="J23" s="50"/>
      <c r="K23" s="61"/>
      <c r="L23" s="62"/>
      <c r="M23" s="58"/>
      <c r="N23" s="63"/>
      <c r="O23" s="58">
        <f>E23+H23</f>
        <v>62999.880000000005</v>
      </c>
      <c r="P23" t="s">
        <v>158</v>
      </c>
      <c r="Q23" s="107"/>
    </row>
    <row r="24" spans="1:20" ht="60.75" thickBot="1" x14ac:dyDescent="0.3">
      <c r="A24" s="378"/>
      <c r="B24" s="48" t="s">
        <v>101</v>
      </c>
      <c r="C24" s="50"/>
      <c r="D24" s="50"/>
      <c r="E24" s="49">
        <v>583334</v>
      </c>
      <c r="F24" s="49">
        <v>583334</v>
      </c>
      <c r="G24" s="162">
        <v>116666</v>
      </c>
      <c r="H24" s="56"/>
      <c r="I24" s="50"/>
      <c r="J24" s="50"/>
      <c r="K24" s="50"/>
      <c r="L24" s="64"/>
      <c r="M24" s="53">
        <v>700000</v>
      </c>
      <c r="N24" s="54"/>
      <c r="O24" s="53">
        <v>700000</v>
      </c>
    </row>
    <row r="25" spans="1:20" ht="15.75" thickBot="1" x14ac:dyDescent="0.3">
      <c r="A25" s="65" t="s">
        <v>102</v>
      </c>
      <c r="B25" s="48" t="s">
        <v>92</v>
      </c>
      <c r="C25" s="49">
        <v>1248677</v>
      </c>
      <c r="D25" s="49">
        <v>24974</v>
      </c>
      <c r="E25" s="50"/>
      <c r="F25" s="49">
        <v>1273651</v>
      </c>
      <c r="G25" s="50"/>
      <c r="H25" s="51">
        <f>614773+46338</f>
        <v>661111</v>
      </c>
      <c r="I25" s="49">
        <v>14650</v>
      </c>
      <c r="J25" s="49">
        <v>14244</v>
      </c>
      <c r="K25" s="49">
        <v>25473</v>
      </c>
      <c r="L25" s="52">
        <v>12737</v>
      </c>
      <c r="M25" s="53">
        <v>1340755</v>
      </c>
      <c r="N25" s="54"/>
      <c r="O25" s="53">
        <f>H25+I25+J25+K25+L25+F25</f>
        <v>2001866</v>
      </c>
      <c r="R25" s="73">
        <v>20892643</v>
      </c>
    </row>
    <row r="26" spans="1:20" ht="15.75" thickBot="1" x14ac:dyDescent="0.3">
      <c r="A26" s="65"/>
      <c r="B26" s="48"/>
      <c r="C26" s="49"/>
      <c r="D26" s="49"/>
      <c r="E26" s="50"/>
      <c r="F26" s="49"/>
      <c r="G26" s="50"/>
      <c r="H26" s="56"/>
      <c r="I26" s="49"/>
      <c r="J26" s="49"/>
      <c r="K26" s="49"/>
      <c r="L26" s="52"/>
      <c r="M26" s="53"/>
      <c r="N26" s="54"/>
      <c r="O26" s="53"/>
      <c r="R26" s="107">
        <f>-M35-M22</f>
        <v>-118277</v>
      </c>
    </row>
    <row r="27" spans="1:20" ht="15.75" thickBot="1" x14ac:dyDescent="0.3">
      <c r="A27" s="65" t="s">
        <v>103</v>
      </c>
      <c r="B27" s="48" t="s">
        <v>92</v>
      </c>
      <c r="C27" s="49">
        <v>1915819</v>
      </c>
      <c r="D27" s="49">
        <v>38316</v>
      </c>
      <c r="E27" s="50"/>
      <c r="F27" s="49">
        <v>1954135</v>
      </c>
      <c r="G27" s="50"/>
      <c r="H27" s="56"/>
      <c r="I27" s="49">
        <v>22476</v>
      </c>
      <c r="J27" s="49">
        <v>21854</v>
      </c>
      <c r="K27" s="49">
        <v>39083</v>
      </c>
      <c r="L27" s="52">
        <v>19541</v>
      </c>
      <c r="M27" s="53">
        <v>2057089</v>
      </c>
      <c r="N27" s="54"/>
      <c r="O27" s="53">
        <v>2057089</v>
      </c>
      <c r="R27" s="107">
        <f>SUM(O34,O31,O28,O23,O14,O10)</f>
        <v>3251640.75</v>
      </c>
    </row>
    <row r="28" spans="1:20" ht="15.75" thickBot="1" x14ac:dyDescent="0.3">
      <c r="A28" s="55"/>
      <c r="B28" s="48" t="s">
        <v>97</v>
      </c>
      <c r="C28" s="49"/>
      <c r="D28" s="49"/>
      <c r="E28" s="66"/>
      <c r="F28" s="49"/>
      <c r="G28" s="50"/>
      <c r="H28" s="56">
        <v>1129127</v>
      </c>
      <c r="I28" s="49"/>
      <c r="J28" s="49"/>
      <c r="K28" s="49">
        <f>E28*0.02</f>
        <v>0</v>
      </c>
      <c r="L28" s="52">
        <f>E28*0.01</f>
        <v>0</v>
      </c>
      <c r="M28" s="53"/>
      <c r="N28" s="54"/>
      <c r="O28" s="58">
        <f>H28</f>
        <v>1129127</v>
      </c>
      <c r="R28" s="107">
        <f>SUM(R25:R27)</f>
        <v>24026006.75</v>
      </c>
    </row>
    <row r="29" spans="1:20" ht="15.75" thickBot="1" x14ac:dyDescent="0.3">
      <c r="A29" s="55"/>
      <c r="B29" s="48"/>
      <c r="C29" s="49"/>
      <c r="D29" s="49"/>
      <c r="E29" s="66"/>
      <c r="F29" s="49"/>
      <c r="G29" s="50"/>
      <c r="H29" s="56"/>
      <c r="I29" s="49"/>
      <c r="J29" s="49"/>
      <c r="K29" s="49"/>
      <c r="L29" s="52"/>
      <c r="M29" s="53"/>
      <c r="N29" s="54"/>
      <c r="O29" s="58"/>
    </row>
    <row r="30" spans="1:20" ht="15.75" thickBot="1" x14ac:dyDescent="0.3">
      <c r="A30" s="377" t="s">
        <v>104</v>
      </c>
      <c r="B30" s="48" t="s">
        <v>92</v>
      </c>
      <c r="C30" s="49">
        <v>569857</v>
      </c>
      <c r="D30" s="49">
        <v>11397</v>
      </c>
      <c r="E30" s="50"/>
      <c r="F30" s="49">
        <v>581254</v>
      </c>
      <c r="G30" s="50"/>
      <c r="H30" s="56"/>
      <c r="I30" s="49">
        <v>6686</v>
      </c>
      <c r="J30" s="49">
        <v>6500</v>
      </c>
      <c r="K30" s="49">
        <v>11625</v>
      </c>
      <c r="L30" s="52">
        <v>5813</v>
      </c>
      <c r="M30" s="53">
        <v>611878</v>
      </c>
      <c r="N30" s="54"/>
      <c r="O30" s="53">
        <v>611878</v>
      </c>
      <c r="R30" s="40">
        <f>R38-R27</f>
        <v>-51499.899999999907</v>
      </c>
      <c r="T30" s="107">
        <f>+E23</f>
        <v>51499.9</v>
      </c>
    </row>
    <row r="31" spans="1:20" ht="15.75" thickBot="1" x14ac:dyDescent="0.3">
      <c r="A31" s="379"/>
      <c r="B31" s="48" t="s">
        <v>97</v>
      </c>
      <c r="C31" s="49"/>
      <c r="D31" s="49"/>
      <c r="E31" s="50"/>
      <c r="F31" s="49"/>
      <c r="G31" s="50"/>
      <c r="H31" s="56">
        <v>341182</v>
      </c>
      <c r="I31" s="49"/>
      <c r="J31" s="49"/>
      <c r="K31" s="49"/>
      <c r="L31" s="52"/>
      <c r="M31" s="53"/>
      <c r="N31" s="54"/>
      <c r="O31" s="58">
        <f>H31+I31+J31+K31+L31+F31</f>
        <v>341182</v>
      </c>
      <c r="R31" s="40">
        <f>G24-R30</f>
        <v>168165.89999999991</v>
      </c>
      <c r="T31" s="107">
        <f>-G24</f>
        <v>-116666</v>
      </c>
    </row>
    <row r="32" spans="1:20" ht="15.75" thickBot="1" x14ac:dyDescent="0.3">
      <c r="A32" s="379"/>
      <c r="B32" s="48" t="s">
        <v>105</v>
      </c>
      <c r="C32" s="49">
        <v>236022</v>
      </c>
      <c r="D32" s="49">
        <v>4720</v>
      </c>
      <c r="E32" s="50"/>
      <c r="F32" s="49">
        <v>240742</v>
      </c>
      <c r="G32" s="50"/>
      <c r="H32" s="56"/>
      <c r="I32" s="49">
        <v>2769</v>
      </c>
      <c r="J32" s="49">
        <v>2692</v>
      </c>
      <c r="K32" s="49">
        <v>4815</v>
      </c>
      <c r="L32" s="52">
        <v>2407</v>
      </c>
      <c r="M32" s="53">
        <v>253425</v>
      </c>
      <c r="N32" s="54"/>
      <c r="O32" s="53">
        <v>253425</v>
      </c>
      <c r="Q32" s="107">
        <f>SUM(K35:L35)-SUM(K23:L23)</f>
        <v>1945</v>
      </c>
    </row>
    <row r="33" spans="1:20" ht="15.75" thickBot="1" x14ac:dyDescent="0.3">
      <c r="A33" s="379"/>
      <c r="B33" s="48" t="s">
        <v>106</v>
      </c>
      <c r="C33" s="49">
        <v>109254</v>
      </c>
      <c r="D33" s="49">
        <v>2185</v>
      </c>
      <c r="E33" s="50"/>
      <c r="F33" s="49">
        <v>111439</v>
      </c>
      <c r="G33" s="50"/>
      <c r="H33" s="56"/>
      <c r="I33" s="49">
        <v>1282</v>
      </c>
      <c r="J33" s="49">
        <v>1246</v>
      </c>
      <c r="K33" s="49">
        <v>2229</v>
      </c>
      <c r="L33" s="52">
        <v>1114</v>
      </c>
      <c r="M33" s="53">
        <v>117310</v>
      </c>
      <c r="N33" s="54"/>
      <c r="O33" s="53">
        <v>117310</v>
      </c>
    </row>
    <row r="34" spans="1:20" ht="15.75" thickBot="1" x14ac:dyDescent="0.3">
      <c r="A34" s="379"/>
      <c r="B34" s="48"/>
      <c r="C34" s="49"/>
      <c r="D34" s="49"/>
      <c r="E34" s="50"/>
      <c r="F34" s="49"/>
      <c r="G34" s="50"/>
      <c r="H34" s="56">
        <v>68278.999999999985</v>
      </c>
      <c r="I34" s="49"/>
      <c r="J34" s="49"/>
      <c r="K34" s="61"/>
      <c r="L34" s="67"/>
      <c r="M34" s="53"/>
      <c r="N34" s="54"/>
      <c r="O34" s="58">
        <f>H34+K34+L34</f>
        <v>68278.999999999985</v>
      </c>
      <c r="P34" t="s">
        <v>159</v>
      </c>
    </row>
    <row r="35" spans="1:20" ht="30.75" thickBot="1" x14ac:dyDescent="0.3">
      <c r="A35" s="378"/>
      <c r="B35" s="48" t="s">
        <v>107</v>
      </c>
      <c r="C35" s="50"/>
      <c r="D35" s="50"/>
      <c r="E35" s="50"/>
      <c r="F35" s="50"/>
      <c r="G35" s="50"/>
      <c r="H35" s="163">
        <v>64832</v>
      </c>
      <c r="I35" s="50"/>
      <c r="J35" s="50"/>
      <c r="K35" s="49">
        <v>1297</v>
      </c>
      <c r="L35" s="60">
        <v>648</v>
      </c>
      <c r="M35" s="160">
        <v>66777</v>
      </c>
      <c r="N35" s="54"/>
      <c r="O35" s="53"/>
      <c r="P35" t="s">
        <v>158</v>
      </c>
    </row>
    <row r="36" spans="1:20" ht="15.75" thickBot="1" x14ac:dyDescent="0.3">
      <c r="A36" s="65" t="s">
        <v>108</v>
      </c>
      <c r="B36" s="48" t="s">
        <v>92</v>
      </c>
      <c r="C36" s="49">
        <v>617928</v>
      </c>
      <c r="D36" s="49">
        <v>12359</v>
      </c>
      <c r="E36" s="50"/>
      <c r="F36" s="49">
        <v>630287</v>
      </c>
      <c r="G36" s="50"/>
      <c r="H36" s="68"/>
      <c r="I36" s="49">
        <v>7250</v>
      </c>
      <c r="J36" s="49">
        <v>7049</v>
      </c>
      <c r="K36" s="49">
        <v>12606</v>
      </c>
      <c r="L36" s="52">
        <v>6303</v>
      </c>
      <c r="M36" s="53">
        <v>663495</v>
      </c>
      <c r="N36" s="54"/>
      <c r="O36" s="53">
        <v>663495</v>
      </c>
      <c r="Q36" s="10"/>
      <c r="R36" s="10"/>
      <c r="S36" s="10"/>
    </row>
    <row r="37" spans="1:20" ht="15.75" thickBot="1" x14ac:dyDescent="0.3">
      <c r="A37" s="369" t="s">
        <v>109</v>
      </c>
      <c r="B37" s="370"/>
      <c r="C37" s="69">
        <v>18695759</v>
      </c>
      <c r="D37" s="69">
        <v>373915</v>
      </c>
      <c r="E37" s="69">
        <v>633334</v>
      </c>
      <c r="F37" s="69">
        <v>19703008</v>
      </c>
      <c r="G37" s="70">
        <v>116666</v>
      </c>
      <c r="H37" s="71">
        <v>64832</v>
      </c>
      <c r="I37" s="69">
        <v>219340</v>
      </c>
      <c r="J37" s="69">
        <v>213262</v>
      </c>
      <c r="K37" s="69">
        <v>383690</v>
      </c>
      <c r="L37" s="72">
        <v>191845</v>
      </c>
      <c r="M37" s="73">
        <v>20892643</v>
      </c>
      <c r="N37" s="74"/>
      <c r="O37" s="73">
        <f>SUM(O8:O36)</f>
        <v>24026008.75</v>
      </c>
      <c r="Q37" s="151"/>
      <c r="R37" s="73">
        <v>20892643</v>
      </c>
      <c r="S37" s="40"/>
    </row>
    <row r="38" spans="1:20" s="42" customFormat="1" x14ac:dyDescent="0.25">
      <c r="A38" s="30"/>
      <c r="B38" s="30"/>
      <c r="C38" s="155"/>
      <c r="D38" s="155"/>
      <c r="E38" s="155"/>
      <c r="F38" s="155"/>
      <c r="G38" s="156"/>
      <c r="H38" s="157"/>
      <c r="I38" s="155"/>
      <c r="J38" s="155"/>
      <c r="K38" s="155"/>
      <c r="L38" s="155"/>
      <c r="M38" s="155"/>
      <c r="N38" s="155"/>
      <c r="O38" s="155"/>
      <c r="Q38" s="158"/>
      <c r="R38" s="158">
        <f>SUM(H8:H34)</f>
        <v>3200140.85</v>
      </c>
      <c r="S38" s="159">
        <f>SUM(O34,O31,O28,O23,O14,O10)</f>
        <v>3251640.75</v>
      </c>
      <c r="T38" s="159">
        <f>S38-R38</f>
        <v>51499.899999999907</v>
      </c>
    </row>
    <row r="39" spans="1:20" s="10" customFormat="1" x14ac:dyDescent="0.25">
      <c r="A39" s="10" t="s">
        <v>156</v>
      </c>
      <c r="C39" s="153">
        <f t="shared" ref="C39:M39" si="0">SUM(C8:C36)</f>
        <v>18695759</v>
      </c>
      <c r="D39" s="153">
        <f t="shared" si="0"/>
        <v>373915</v>
      </c>
      <c r="E39" s="153">
        <f t="shared" si="0"/>
        <v>684833.9</v>
      </c>
      <c r="F39" s="153">
        <f t="shared" si="0"/>
        <v>19703008</v>
      </c>
      <c r="G39" s="153">
        <f t="shared" si="0"/>
        <v>116666</v>
      </c>
      <c r="H39" s="153">
        <f t="shared" si="0"/>
        <v>3264972.85</v>
      </c>
      <c r="I39" s="153">
        <f t="shared" si="0"/>
        <v>219340</v>
      </c>
      <c r="J39" s="153">
        <f t="shared" si="0"/>
        <v>213262</v>
      </c>
      <c r="K39" s="153">
        <f t="shared" si="0"/>
        <v>383691</v>
      </c>
      <c r="L39" s="153">
        <f t="shared" si="0"/>
        <v>191846</v>
      </c>
      <c r="M39" s="153">
        <f t="shared" si="0"/>
        <v>20892645</v>
      </c>
      <c r="N39" s="154"/>
      <c r="O39" s="153">
        <f>SUM(O8:O36)</f>
        <v>24026008.75</v>
      </c>
      <c r="R39" s="161">
        <f>-M35</f>
        <v>-66777</v>
      </c>
    </row>
    <row r="40" spans="1:20" s="10" customFormat="1" x14ac:dyDescent="0.25">
      <c r="A40" s="10" t="s">
        <v>157</v>
      </c>
      <c r="C40" s="153">
        <f>C37-C39</f>
        <v>0</v>
      </c>
      <c r="D40" s="153">
        <f>D37-D39</f>
        <v>0</v>
      </c>
      <c r="E40" s="153">
        <f>E37-E39</f>
        <v>-51499.900000000023</v>
      </c>
      <c r="F40" s="153">
        <f>F39-SUM(C39:E39)</f>
        <v>-51499.89999999851</v>
      </c>
      <c r="G40" s="153">
        <f t="shared" ref="G40:M40" si="1">G37-G39</f>
        <v>0</v>
      </c>
      <c r="H40" s="153">
        <f t="shared" si="1"/>
        <v>-3200140.85</v>
      </c>
      <c r="I40" s="153">
        <f t="shared" si="1"/>
        <v>0</v>
      </c>
      <c r="J40" s="153">
        <f t="shared" si="1"/>
        <v>0</v>
      </c>
      <c r="K40" s="153">
        <f t="shared" si="1"/>
        <v>-1</v>
      </c>
      <c r="L40" s="153">
        <f t="shared" si="1"/>
        <v>-1</v>
      </c>
      <c r="M40" s="153">
        <f t="shared" si="1"/>
        <v>-2</v>
      </c>
      <c r="N40" s="154"/>
      <c r="O40" s="153">
        <f>O37-O39</f>
        <v>0</v>
      </c>
      <c r="R40" s="161"/>
    </row>
    <row r="41" spans="1:20" s="10" customFormat="1" x14ac:dyDescent="0.25">
      <c r="C41" s="153"/>
      <c r="D41" s="153"/>
      <c r="E41" s="153"/>
      <c r="F41" s="153"/>
      <c r="N41" s="154"/>
      <c r="R41" s="73">
        <f>SUM(R37:R40)</f>
        <v>24026006.850000001</v>
      </c>
    </row>
    <row r="42" spans="1:20" s="10" customFormat="1" x14ac:dyDescent="0.25">
      <c r="C42" s="153"/>
      <c r="D42" s="153"/>
      <c r="E42" s="153"/>
      <c r="F42" s="153"/>
      <c r="N42" s="154"/>
      <c r="R42" s="153">
        <f>R41-O37</f>
        <v>-1.8999999985098839</v>
      </c>
    </row>
    <row r="43" spans="1:20" x14ac:dyDescent="0.25">
      <c r="A43" s="10" t="s">
        <v>110</v>
      </c>
      <c r="H43" s="42"/>
      <c r="L43" s="42"/>
      <c r="N43"/>
    </row>
    <row r="44" spans="1:20" x14ac:dyDescent="0.25">
      <c r="H44" s="42"/>
      <c r="L44" s="42"/>
      <c r="N44"/>
    </row>
    <row r="45" spans="1:20" x14ac:dyDescent="0.25">
      <c r="A45" s="10" t="s">
        <v>111</v>
      </c>
      <c r="H45" s="42"/>
      <c r="L45" s="42"/>
      <c r="N45"/>
    </row>
    <row r="46" spans="1:20" ht="15.75" thickBot="1" x14ac:dyDescent="0.3">
      <c r="H46" s="42"/>
      <c r="L46" s="42"/>
      <c r="N46"/>
    </row>
    <row r="47" spans="1:20" ht="15.75" thickBot="1" x14ac:dyDescent="0.3">
      <c r="A47" s="75"/>
      <c r="B47" s="76"/>
      <c r="C47" s="371" t="s">
        <v>112</v>
      </c>
      <c r="D47" s="372"/>
      <c r="E47" s="372"/>
      <c r="F47" s="372"/>
      <c r="G47" s="373"/>
      <c r="H47" s="77"/>
      <c r="I47" s="78"/>
      <c r="J47" s="78"/>
      <c r="K47" s="78"/>
      <c r="L47" s="79"/>
      <c r="M47" s="374" t="s">
        <v>74</v>
      </c>
      <c r="N47" s="375"/>
      <c r="O47" s="10"/>
      <c r="P47" s="374" t="s">
        <v>75</v>
      </c>
      <c r="Q47" s="375"/>
      <c r="R47" s="10"/>
      <c r="S47" s="80" t="s">
        <v>113</v>
      </c>
    </row>
    <row r="48" spans="1:20" ht="60" x14ac:dyDescent="0.25">
      <c r="A48" s="81" t="s">
        <v>114</v>
      </c>
      <c r="B48" s="82" t="s">
        <v>115</v>
      </c>
      <c r="C48" s="83" t="s">
        <v>79</v>
      </c>
      <c r="D48" s="84"/>
      <c r="E48" s="84" t="s">
        <v>116</v>
      </c>
      <c r="F48" s="84"/>
      <c r="G48" s="85" t="s">
        <v>117</v>
      </c>
      <c r="H48" s="86"/>
      <c r="I48" s="87"/>
      <c r="J48" s="87" t="s">
        <v>118</v>
      </c>
      <c r="K48" s="87"/>
      <c r="L48" s="86"/>
      <c r="M48" s="88" t="s">
        <v>119</v>
      </c>
      <c r="N48" s="87"/>
      <c r="O48" s="10"/>
      <c r="P48" s="88" t="s">
        <v>120</v>
      </c>
      <c r="Q48" s="88"/>
      <c r="R48" s="10"/>
      <c r="S48" s="88" t="s">
        <v>121</v>
      </c>
    </row>
    <row r="49" spans="1:19" ht="15.75" thickBot="1" x14ac:dyDescent="0.3">
      <c r="A49" s="89"/>
      <c r="B49" s="90"/>
      <c r="C49" s="91" t="s">
        <v>90</v>
      </c>
      <c r="D49" s="92"/>
      <c r="E49" s="92" t="s">
        <v>90</v>
      </c>
      <c r="F49" s="92"/>
      <c r="G49" s="93" t="s">
        <v>90</v>
      </c>
      <c r="H49" s="94"/>
      <c r="I49" s="95"/>
      <c r="J49" s="95" t="s">
        <v>90</v>
      </c>
      <c r="K49" s="95"/>
      <c r="L49" s="94"/>
      <c r="M49" s="96" t="s">
        <v>90</v>
      </c>
      <c r="N49" s="95"/>
      <c r="O49" s="10"/>
      <c r="P49" s="96" t="s">
        <v>90</v>
      </c>
      <c r="Q49" s="95"/>
      <c r="R49" s="10"/>
      <c r="S49" s="96" t="s">
        <v>90</v>
      </c>
    </row>
    <row r="50" spans="1:19" x14ac:dyDescent="0.25">
      <c r="A50" s="97" t="s">
        <v>122</v>
      </c>
      <c r="B50" s="11" t="s">
        <v>92</v>
      </c>
      <c r="C50" s="98">
        <v>2920314.8600000003</v>
      </c>
      <c r="D50" s="99"/>
      <c r="E50" s="99"/>
      <c r="F50" s="99"/>
      <c r="G50" s="100">
        <f>+C50+D50+E50+F50</f>
        <v>2920314.8600000003</v>
      </c>
      <c r="H50" s="101"/>
      <c r="I50" s="102"/>
      <c r="J50" s="103"/>
      <c r="K50" s="104"/>
      <c r="L50" s="101"/>
      <c r="M50" s="105">
        <v>40392.37837828372</v>
      </c>
      <c r="N50" s="106"/>
      <c r="O50" s="107"/>
      <c r="P50" s="105">
        <f>+G50*2%</f>
        <v>58406.297200000008</v>
      </c>
      <c r="Q50" s="106"/>
      <c r="S50" s="105">
        <f>+G50+I50+K50+M50+N50+P50+Q50+J50</f>
        <v>3019113.5355782839</v>
      </c>
    </row>
    <row r="51" spans="1:19" x14ac:dyDescent="0.25">
      <c r="A51" s="97" t="s">
        <v>122</v>
      </c>
      <c r="B51" s="11" t="s">
        <v>94</v>
      </c>
      <c r="C51" s="108">
        <v>97129.61</v>
      </c>
      <c r="D51" s="109"/>
      <c r="E51" s="109"/>
      <c r="F51" s="109"/>
      <c r="G51" s="110">
        <f t="shared" ref="G51:G78" si="2">+C51+D51+E51+F51</f>
        <v>97129.61</v>
      </c>
      <c r="H51" s="107">
        <f>SUM(G50:G52)</f>
        <v>4514497.34</v>
      </c>
      <c r="I51" s="111"/>
      <c r="J51" s="112"/>
      <c r="K51" s="113"/>
      <c r="L51" s="101"/>
      <c r="M51" s="114">
        <v>1034.1892240611867</v>
      </c>
      <c r="N51" s="115"/>
      <c r="O51" s="107">
        <f>SUM(M50:M51)</f>
        <v>41426.567602344905</v>
      </c>
      <c r="P51" s="114">
        <f>+G51*2%</f>
        <v>1942.5922</v>
      </c>
      <c r="Q51" s="115"/>
      <c r="R51" s="107">
        <f>SUM(P50:P52)</f>
        <v>90289.946800000005</v>
      </c>
      <c r="S51" s="114">
        <f>+G51+I51+K51+M51+N51+P51+Q51+J51</f>
        <v>100106.39142406119</v>
      </c>
    </row>
    <row r="52" spans="1:19" x14ac:dyDescent="0.25">
      <c r="A52" s="97"/>
      <c r="B52" s="11" t="s">
        <v>123</v>
      </c>
      <c r="C52" s="108">
        <f>27066-27066</f>
        <v>0</v>
      </c>
      <c r="D52" s="109"/>
      <c r="E52" s="109">
        <v>1497052.87</v>
      </c>
      <c r="F52" s="109"/>
      <c r="G52" s="110">
        <f>+C52+D52+E52+F52</f>
        <v>1497052.87</v>
      </c>
      <c r="H52" s="107"/>
      <c r="I52" s="111"/>
      <c r="J52" s="112"/>
      <c r="K52" s="113"/>
      <c r="L52" s="101"/>
      <c r="M52" s="114"/>
      <c r="N52" s="115"/>
      <c r="O52" s="107"/>
      <c r="P52" s="114">
        <f>+G52*2%</f>
        <v>29941.057400000002</v>
      </c>
      <c r="Q52" s="115"/>
      <c r="R52" s="107"/>
      <c r="S52" s="114">
        <f>+G52+I52+K52+M52+N52+P52+Q52+J52</f>
        <v>1526993.9274000002</v>
      </c>
    </row>
    <row r="53" spans="1:19" x14ac:dyDescent="0.25">
      <c r="A53" s="97"/>
      <c r="B53" s="11"/>
      <c r="C53" s="108"/>
      <c r="D53" s="109"/>
      <c r="E53" s="109"/>
      <c r="F53" s="109"/>
      <c r="G53" s="110"/>
      <c r="H53" s="107"/>
      <c r="I53" s="111"/>
      <c r="J53" s="112"/>
      <c r="K53" s="113"/>
      <c r="L53" s="101"/>
      <c r="M53" s="114"/>
      <c r="N53" s="115"/>
      <c r="O53" s="107"/>
      <c r="P53" s="114"/>
      <c r="Q53" s="115"/>
      <c r="R53" s="107"/>
      <c r="S53" s="114"/>
    </row>
    <row r="54" spans="1:19" x14ac:dyDescent="0.25">
      <c r="A54" s="97" t="s">
        <v>124</v>
      </c>
      <c r="B54" s="11" t="s">
        <v>92</v>
      </c>
      <c r="C54" s="108">
        <v>2200953</v>
      </c>
      <c r="D54" s="109"/>
      <c r="E54" s="109"/>
      <c r="F54" s="109"/>
      <c r="G54" s="110">
        <f t="shared" si="2"/>
        <v>2200953</v>
      </c>
      <c r="H54" s="107"/>
      <c r="I54" s="111"/>
      <c r="J54" s="112"/>
      <c r="K54" s="113"/>
      <c r="L54" s="101"/>
      <c r="M54" s="114">
        <v>52292.967120267123</v>
      </c>
      <c r="N54" s="115"/>
      <c r="O54" s="107"/>
      <c r="P54" s="114">
        <f>+G54*2%</f>
        <v>44019.06</v>
      </c>
      <c r="Q54" s="115"/>
      <c r="R54" s="107"/>
      <c r="S54" s="114">
        <f>+G54+I54+K54+M54+N54+P54+Q54+J54</f>
        <v>2297265.027120267</v>
      </c>
    </row>
    <row r="55" spans="1:19" x14ac:dyDescent="0.25">
      <c r="A55" s="97" t="s">
        <v>124</v>
      </c>
      <c r="B55" s="11" t="s">
        <v>96</v>
      </c>
      <c r="C55" s="108">
        <v>537117.04999999993</v>
      </c>
      <c r="D55" s="109"/>
      <c r="E55" s="109"/>
      <c r="F55" s="109"/>
      <c r="G55" s="110">
        <f t="shared" si="2"/>
        <v>537117.04999999993</v>
      </c>
      <c r="H55" s="107">
        <f>SUM(G54:G56)</f>
        <v>2891070.05</v>
      </c>
      <c r="I55" s="111"/>
      <c r="J55" s="112"/>
      <c r="K55" s="113"/>
      <c r="L55" s="101"/>
      <c r="M55" s="114">
        <v>11932.03287973288</v>
      </c>
      <c r="N55" s="115"/>
      <c r="O55" s="107">
        <f>SUM(M54:M55)</f>
        <v>64225</v>
      </c>
      <c r="P55" s="114">
        <f>+G55*2%</f>
        <v>10742.340999999999</v>
      </c>
      <c r="Q55" s="115"/>
      <c r="R55" s="107">
        <f>SUM(P54:P56)</f>
        <v>57821.400999999998</v>
      </c>
      <c r="S55" s="114">
        <f>+G55+I55+K55+M55+N55+P55+Q55+J55</f>
        <v>559791.42387973284</v>
      </c>
    </row>
    <row r="56" spans="1:19" x14ac:dyDescent="0.25">
      <c r="A56" s="97"/>
      <c r="B56" s="11" t="s">
        <v>123</v>
      </c>
      <c r="C56" s="108"/>
      <c r="D56" s="109"/>
      <c r="E56" s="109">
        <f>153000</f>
        <v>153000</v>
      </c>
      <c r="F56" s="109"/>
      <c r="G56" s="110">
        <f t="shared" si="2"/>
        <v>153000</v>
      </c>
      <c r="H56" s="107"/>
      <c r="I56" s="111"/>
      <c r="J56" s="112"/>
      <c r="K56" s="113"/>
      <c r="L56" s="101"/>
      <c r="M56" s="114"/>
      <c r="N56" s="115"/>
      <c r="O56" s="107"/>
      <c r="P56" s="114">
        <f>+G56*2%</f>
        <v>3060</v>
      </c>
      <c r="Q56" s="115"/>
      <c r="R56" s="107"/>
      <c r="S56" s="114">
        <f>+G56+I56+K56+M56+N56+P56+Q56+J56</f>
        <v>156060</v>
      </c>
    </row>
    <row r="57" spans="1:19" x14ac:dyDescent="0.25">
      <c r="A57" s="97"/>
      <c r="B57" s="11"/>
      <c r="C57" s="108"/>
      <c r="D57" s="109"/>
      <c r="E57" s="109"/>
      <c r="F57" s="109"/>
      <c r="G57" s="110"/>
      <c r="H57" s="107"/>
      <c r="I57" s="111"/>
      <c r="J57" s="112"/>
      <c r="K57" s="113"/>
      <c r="L57" s="101"/>
      <c r="M57" s="114"/>
      <c r="N57" s="115"/>
      <c r="O57" s="107"/>
      <c r="P57" s="114"/>
      <c r="Q57" s="115"/>
      <c r="R57" s="107"/>
      <c r="S57" s="114"/>
    </row>
    <row r="58" spans="1:19" x14ac:dyDescent="0.25">
      <c r="A58" s="97" t="s">
        <v>125</v>
      </c>
      <c r="B58" s="11" t="s">
        <v>92</v>
      </c>
      <c r="C58" s="108">
        <v>4618507.7699999996</v>
      </c>
      <c r="D58" s="109"/>
      <c r="E58" s="109"/>
      <c r="F58" s="109"/>
      <c r="G58" s="110">
        <f t="shared" si="2"/>
        <v>4618507.7699999996</v>
      </c>
      <c r="H58" s="107"/>
      <c r="I58" s="111"/>
      <c r="J58" s="112"/>
      <c r="K58" s="113"/>
      <c r="L58" s="101"/>
      <c r="M58" s="114">
        <v>43445</v>
      </c>
      <c r="N58" s="115"/>
      <c r="O58" s="107"/>
      <c r="P58" s="114">
        <f>+G58*2%</f>
        <v>92370.155399999989</v>
      </c>
      <c r="Q58" s="115"/>
      <c r="R58" s="107"/>
      <c r="S58" s="114">
        <f>+G58+I58+K58+M58+N58+P58+Q58+J58</f>
        <v>4754322.9253999991</v>
      </c>
    </row>
    <row r="59" spans="1:19" x14ac:dyDescent="0.25">
      <c r="A59" s="97" t="s">
        <v>125</v>
      </c>
      <c r="B59" s="11" t="s">
        <v>98</v>
      </c>
      <c r="C59" s="108">
        <v>42691.65</v>
      </c>
      <c r="D59" s="109"/>
      <c r="E59" s="109"/>
      <c r="F59" s="109"/>
      <c r="G59" s="110">
        <f t="shared" si="2"/>
        <v>42691.65</v>
      </c>
      <c r="H59" s="107"/>
      <c r="I59" s="111"/>
      <c r="J59" s="112"/>
      <c r="K59" s="113"/>
      <c r="L59" s="101"/>
      <c r="M59" s="114">
        <v>400</v>
      </c>
      <c r="N59" s="115"/>
      <c r="O59" s="107"/>
      <c r="P59" s="114">
        <f>+G59*2%</f>
        <v>853.83300000000008</v>
      </c>
      <c r="Q59" s="115"/>
      <c r="R59" s="107"/>
      <c r="S59" s="114">
        <f>+G59+I59+K59+M59+N59+P59+Q59+J59</f>
        <v>43945.483</v>
      </c>
    </row>
    <row r="60" spans="1:19" x14ac:dyDescent="0.25">
      <c r="A60" s="97" t="s">
        <v>125</v>
      </c>
      <c r="B60" s="11" t="s">
        <v>94</v>
      </c>
      <c r="C60" s="108">
        <v>150008</v>
      </c>
      <c r="D60" s="109"/>
      <c r="E60" s="109"/>
      <c r="F60" s="109"/>
      <c r="G60" s="110">
        <f t="shared" si="2"/>
        <v>150008</v>
      </c>
      <c r="H60" s="107">
        <f>SUM(G58:G60)</f>
        <v>4811207.42</v>
      </c>
      <c r="I60" s="111"/>
      <c r="J60" s="112"/>
      <c r="K60" s="113"/>
      <c r="L60" s="101"/>
      <c r="M60" s="114">
        <v>1412</v>
      </c>
      <c r="N60" s="115"/>
      <c r="O60" s="107">
        <f>SUM(M58:M60)</f>
        <v>45257</v>
      </c>
      <c r="P60" s="114">
        <f>+G60*2%</f>
        <v>3000.16</v>
      </c>
      <c r="Q60" s="115"/>
      <c r="R60" s="107">
        <f>SUM(P58:P60)</f>
        <v>96224.148399999991</v>
      </c>
      <c r="S60" s="114">
        <f>+G60+I60+K60+M60+N60+P60+Q60+J60</f>
        <v>154420.16</v>
      </c>
    </row>
    <row r="61" spans="1:19" x14ac:dyDescent="0.25">
      <c r="A61" s="97"/>
      <c r="B61" s="11"/>
      <c r="C61" s="108"/>
      <c r="D61" s="109"/>
      <c r="E61" s="109"/>
      <c r="F61" s="109"/>
      <c r="G61" s="110"/>
      <c r="H61" s="107"/>
      <c r="I61" s="111"/>
      <c r="J61" s="112"/>
      <c r="K61" s="113"/>
      <c r="L61" s="101"/>
      <c r="M61" s="114"/>
      <c r="N61" s="115"/>
      <c r="O61" s="107"/>
      <c r="P61" s="114"/>
      <c r="Q61" s="115"/>
      <c r="R61" s="107"/>
      <c r="S61" s="114"/>
    </row>
    <row r="62" spans="1:19" x14ac:dyDescent="0.25">
      <c r="A62" s="97" t="s">
        <v>126</v>
      </c>
      <c r="B62" s="11" t="s">
        <v>92</v>
      </c>
      <c r="C62" s="108">
        <v>3802582.07</v>
      </c>
      <c r="D62" s="109"/>
      <c r="E62" s="109"/>
      <c r="F62" s="109"/>
      <c r="G62" s="110">
        <f t="shared" si="2"/>
        <v>3802582.07</v>
      </c>
      <c r="H62" s="107"/>
      <c r="I62" s="111"/>
      <c r="J62" s="112"/>
      <c r="K62" s="113"/>
      <c r="L62" s="101"/>
      <c r="M62" s="114">
        <v>41295</v>
      </c>
      <c r="N62" s="115"/>
      <c r="O62" s="107"/>
      <c r="P62" s="114">
        <f>+G62*2%</f>
        <v>76051.641399999993</v>
      </c>
      <c r="Q62" s="115"/>
      <c r="R62" s="107"/>
      <c r="S62" s="114">
        <f>+G62+I62+K62+M62+N62+P62+Q62+J62</f>
        <v>3919928.7113999999</v>
      </c>
    </row>
    <row r="63" spans="1:19" ht="45" x14ac:dyDescent="0.25">
      <c r="A63" s="97" t="s">
        <v>126</v>
      </c>
      <c r="B63" s="116" t="s">
        <v>100</v>
      </c>
      <c r="C63" s="117">
        <v>63000</v>
      </c>
      <c r="D63" s="109"/>
      <c r="E63" s="109"/>
      <c r="F63" s="109"/>
      <c r="G63" s="110">
        <f t="shared" si="2"/>
        <v>63000</v>
      </c>
      <c r="H63" s="107">
        <f>SUM(G62:G65)</f>
        <v>4565581.87</v>
      </c>
      <c r="I63" s="111"/>
      <c r="J63" s="112"/>
      <c r="K63" s="113"/>
      <c r="L63" s="101"/>
      <c r="M63" s="114">
        <v>61</v>
      </c>
      <c r="N63" s="115"/>
      <c r="O63" s="107">
        <f>SUM(M62:M63)</f>
        <v>41356</v>
      </c>
      <c r="P63" s="114">
        <f>+G63*2%</f>
        <v>1260</v>
      </c>
      <c r="Q63" s="115"/>
      <c r="R63" s="107">
        <f>SUM(P62:P65)</f>
        <v>91311.637399999992</v>
      </c>
      <c r="S63" s="114">
        <f>+G63+I63+K63+M63+N63+P63+Q63+J63</f>
        <v>64321</v>
      </c>
    </row>
    <row r="64" spans="1:19" x14ac:dyDescent="0.25">
      <c r="A64" s="97" t="s">
        <v>126</v>
      </c>
      <c r="B64" s="11"/>
      <c r="C64" s="97"/>
      <c r="D64" s="109"/>
      <c r="E64" s="109"/>
      <c r="F64" s="109"/>
      <c r="G64" s="110"/>
      <c r="H64" s="107"/>
      <c r="I64" s="111"/>
      <c r="J64" s="112"/>
      <c r="K64" s="113"/>
      <c r="L64" s="101"/>
      <c r="M64" s="114"/>
      <c r="N64" s="115"/>
      <c r="O64" s="107"/>
      <c r="P64" s="114"/>
      <c r="Q64" s="115"/>
      <c r="R64" s="107"/>
      <c r="S64" s="114"/>
    </row>
    <row r="65" spans="1:19" ht="60" x14ac:dyDescent="0.25">
      <c r="A65" s="97" t="s">
        <v>126</v>
      </c>
      <c r="B65" s="116" t="s">
        <v>101</v>
      </c>
      <c r="C65" s="108">
        <v>699999.8</v>
      </c>
      <c r="D65" s="109"/>
      <c r="E65" s="109"/>
      <c r="F65" s="109"/>
      <c r="G65" s="110">
        <f t="shared" si="2"/>
        <v>699999.8</v>
      </c>
      <c r="H65" s="107"/>
      <c r="I65" s="111"/>
      <c r="J65" s="112"/>
      <c r="K65" s="113"/>
      <c r="L65" s="101"/>
      <c r="M65" s="114"/>
      <c r="N65" s="115"/>
      <c r="O65" s="107"/>
      <c r="P65" s="114">
        <f>+G65*2%</f>
        <v>13999.996000000001</v>
      </c>
      <c r="Q65" s="115"/>
      <c r="R65" s="107"/>
      <c r="S65" s="114">
        <f>+G65+I65+K65+M65+N65+P65+Q65+J65</f>
        <v>713999.79600000009</v>
      </c>
    </row>
    <row r="66" spans="1:19" x14ac:dyDescent="0.25">
      <c r="A66" s="97"/>
      <c r="B66" s="116"/>
      <c r="C66" s="108"/>
      <c r="D66" s="109"/>
      <c r="E66" s="109"/>
      <c r="F66" s="109"/>
      <c r="G66" s="110"/>
      <c r="H66" s="107"/>
      <c r="I66" s="111"/>
      <c r="J66" s="112"/>
      <c r="K66" s="113"/>
      <c r="L66" s="101"/>
      <c r="M66" s="114"/>
      <c r="N66" s="115"/>
      <c r="O66" s="107"/>
      <c r="P66" s="114"/>
      <c r="Q66" s="115"/>
      <c r="R66" s="107"/>
      <c r="S66" s="114"/>
    </row>
    <row r="67" spans="1:19" x14ac:dyDescent="0.25">
      <c r="A67" s="97" t="s">
        <v>127</v>
      </c>
      <c r="B67" s="11" t="s">
        <v>92</v>
      </c>
      <c r="C67" s="108">
        <v>2001865.53</v>
      </c>
      <c r="D67" s="109"/>
      <c r="E67" s="109"/>
      <c r="F67" s="109"/>
      <c r="G67" s="110">
        <f t="shared" si="2"/>
        <v>2001865.53</v>
      </c>
      <c r="H67" s="107">
        <f>SUM(G66:G67)</f>
        <v>2001865.53</v>
      </c>
      <c r="I67" s="111"/>
      <c r="J67" s="112"/>
      <c r="K67" s="113"/>
      <c r="L67" s="101"/>
      <c r="M67" s="114">
        <v>19000</v>
      </c>
      <c r="N67" s="115"/>
      <c r="O67" s="107">
        <f>SUM(M66:M67)</f>
        <v>19000</v>
      </c>
      <c r="P67" s="114">
        <f>(+G67*2%)+(+J67*2%)</f>
        <v>40037.310600000004</v>
      </c>
      <c r="Q67" s="115"/>
      <c r="R67" s="107">
        <f>SUM(P66:P67)</f>
        <v>40037.310600000004</v>
      </c>
      <c r="S67" s="114">
        <f>+G67+I67+K67+M67+N67+P67+Q67+J67</f>
        <v>2060902.8406</v>
      </c>
    </row>
    <row r="68" spans="1:19" x14ac:dyDescent="0.25">
      <c r="A68" s="97"/>
      <c r="B68" s="11"/>
      <c r="C68" s="108"/>
      <c r="D68" s="109"/>
      <c r="E68" s="109"/>
      <c r="F68" s="109"/>
      <c r="G68" s="110"/>
      <c r="H68" s="107"/>
      <c r="I68" s="111"/>
      <c r="J68" s="112"/>
      <c r="K68" s="113"/>
      <c r="L68" s="101"/>
      <c r="M68" s="114"/>
      <c r="N68" s="115"/>
      <c r="O68" s="107"/>
      <c r="P68" s="114"/>
      <c r="Q68" s="115"/>
      <c r="R68" s="107"/>
      <c r="S68" s="114"/>
    </row>
    <row r="69" spans="1:19" x14ac:dyDescent="0.25">
      <c r="A69" s="97" t="s">
        <v>14</v>
      </c>
      <c r="B69" s="11" t="s">
        <v>92</v>
      </c>
      <c r="C69" s="108">
        <v>3186216</v>
      </c>
      <c r="D69" s="109"/>
      <c r="E69" s="109"/>
      <c r="F69" s="109"/>
      <c r="G69" s="110">
        <f t="shared" si="2"/>
        <v>3186216</v>
      </c>
      <c r="H69" s="107">
        <f>SUM(G68:G69)</f>
        <v>3186216</v>
      </c>
      <c r="I69" s="111"/>
      <c r="J69" s="112"/>
      <c r="K69" s="113"/>
      <c r="L69" s="101"/>
      <c r="M69" s="114">
        <v>30449</v>
      </c>
      <c r="N69" s="115"/>
      <c r="O69" s="107">
        <f>SUM(M68:M69)</f>
        <v>30449</v>
      </c>
      <c r="P69" s="114">
        <f>+G69*2%</f>
        <v>63724.32</v>
      </c>
      <c r="Q69" s="115"/>
      <c r="R69" s="107">
        <f>SUM(P68:P69)</f>
        <v>63724.32</v>
      </c>
      <c r="S69" s="114">
        <f>+G69+I69+K69+M69+N69+P69+Q69+J69</f>
        <v>3280389.32</v>
      </c>
    </row>
    <row r="70" spans="1:19" x14ac:dyDescent="0.25">
      <c r="A70" s="97"/>
      <c r="B70" s="11"/>
      <c r="C70" s="108"/>
      <c r="D70" s="109"/>
      <c r="E70" s="109"/>
      <c r="F70" s="109"/>
      <c r="G70" s="110"/>
      <c r="H70" s="107"/>
      <c r="I70" s="111"/>
      <c r="J70" s="112"/>
      <c r="K70" s="113"/>
      <c r="L70" s="101"/>
      <c r="M70" s="114"/>
      <c r="N70" s="115"/>
      <c r="O70" s="107"/>
      <c r="P70" s="114"/>
      <c r="Q70" s="115"/>
      <c r="R70" s="107"/>
      <c r="S70" s="114"/>
    </row>
    <row r="71" spans="1:19" x14ac:dyDescent="0.25">
      <c r="A71" s="97"/>
      <c r="B71" s="11"/>
      <c r="C71" s="108"/>
      <c r="D71" s="109"/>
      <c r="E71" s="109"/>
      <c r="F71" s="109"/>
      <c r="G71" s="110"/>
      <c r="H71" s="107"/>
      <c r="I71" s="111"/>
      <c r="J71" s="112"/>
      <c r="K71" s="113"/>
      <c r="L71" s="101"/>
      <c r="M71" s="114"/>
      <c r="N71" s="115"/>
      <c r="O71" s="107"/>
      <c r="P71" s="114"/>
      <c r="Q71" s="115"/>
      <c r="R71" s="107"/>
      <c r="S71" s="114"/>
    </row>
    <row r="72" spans="1:19" x14ac:dyDescent="0.25">
      <c r="A72" s="97" t="s">
        <v>128</v>
      </c>
      <c r="B72" s="11" t="s">
        <v>92</v>
      </c>
      <c r="C72" s="108">
        <v>611877.62</v>
      </c>
      <c r="D72" s="109"/>
      <c r="E72" s="109"/>
      <c r="F72" s="109"/>
      <c r="G72" s="110">
        <f t="shared" si="2"/>
        <v>611877.62</v>
      </c>
      <c r="H72" s="107"/>
      <c r="I72" s="111"/>
      <c r="J72" s="112"/>
      <c r="K72" s="113"/>
      <c r="L72" s="101"/>
      <c r="M72" s="114">
        <v>6848</v>
      </c>
      <c r="N72" s="115"/>
      <c r="O72" s="107"/>
      <c r="P72" s="114">
        <f>(+G72*2%)+(+J72*2%)</f>
        <v>12237.5524</v>
      </c>
      <c r="Q72" s="115"/>
      <c r="R72" s="107"/>
      <c r="S72" s="114">
        <f>+G72+I72+K72+M72+N72+P72+Q72+J72</f>
        <v>630963.17240000004</v>
      </c>
    </row>
    <row r="73" spans="1:19" x14ac:dyDescent="0.25">
      <c r="A73" s="97"/>
      <c r="B73" s="11" t="s">
        <v>123</v>
      </c>
      <c r="C73" s="108"/>
      <c r="D73" s="109"/>
      <c r="E73" s="109">
        <v>341182</v>
      </c>
      <c r="F73" s="109"/>
      <c r="G73" s="110">
        <f t="shared" si="2"/>
        <v>341182</v>
      </c>
      <c r="H73" s="107"/>
      <c r="I73" s="111"/>
      <c r="J73" s="112"/>
      <c r="K73" s="113"/>
      <c r="L73" s="101"/>
      <c r="M73" s="114"/>
      <c r="N73" s="115"/>
      <c r="O73" s="107"/>
      <c r="P73" s="114">
        <f>(+G73*2%)+(+J73*2%)</f>
        <v>6823.64</v>
      </c>
      <c r="Q73" s="115"/>
      <c r="R73" s="107"/>
      <c r="S73" s="114">
        <f>+G73+I73+K73+M73+N73+P73+Q73+J73</f>
        <v>348005.64</v>
      </c>
    </row>
    <row r="74" spans="1:19" x14ac:dyDescent="0.25">
      <c r="A74" s="97" t="s">
        <v>128</v>
      </c>
      <c r="B74" s="11" t="s">
        <v>105</v>
      </c>
      <c r="C74" s="108">
        <v>253425.26</v>
      </c>
      <c r="D74" s="109"/>
      <c r="E74" s="109"/>
      <c r="F74" s="109"/>
      <c r="G74" s="110">
        <f t="shared" si="2"/>
        <v>253425.26</v>
      </c>
      <c r="H74" s="107"/>
      <c r="I74" s="111"/>
      <c r="J74" s="112"/>
      <c r="K74" s="113"/>
      <c r="L74" s="101"/>
      <c r="M74" s="114">
        <v>1820</v>
      </c>
      <c r="N74" s="115"/>
      <c r="O74" s="107"/>
      <c r="P74" s="114">
        <f>+G74*2%</f>
        <v>5068.5052000000005</v>
      </c>
      <c r="Q74" s="115"/>
      <c r="R74" s="107"/>
      <c r="S74" s="114">
        <f>+G74+I74+K74+M74+N74+P74+Q74+J74</f>
        <v>260313.76520000002</v>
      </c>
    </row>
    <row r="75" spans="1:19" x14ac:dyDescent="0.25">
      <c r="A75" s="97" t="s">
        <v>128</v>
      </c>
      <c r="B75" s="11" t="s">
        <v>106</v>
      </c>
      <c r="C75" s="108">
        <v>117310.17</v>
      </c>
      <c r="D75" s="109"/>
      <c r="E75" s="109"/>
      <c r="F75" s="109"/>
      <c r="G75" s="110">
        <f t="shared" si="2"/>
        <v>117310.17</v>
      </c>
      <c r="H75" s="107"/>
      <c r="I75" s="111"/>
      <c r="J75" s="112"/>
      <c r="K75" s="113"/>
      <c r="L75" s="101"/>
      <c r="M75" s="114">
        <v>842</v>
      </c>
      <c r="N75" s="115"/>
      <c r="O75" s="107"/>
      <c r="P75" s="114">
        <f>+G75*2%</f>
        <v>2346.2033999999999</v>
      </c>
      <c r="Q75" s="115"/>
      <c r="R75" s="107"/>
      <c r="S75" s="114">
        <f>+G75+I75+K75+M75+N75+P75+Q75+J75</f>
        <v>120498.3734</v>
      </c>
    </row>
    <row r="76" spans="1:19" x14ac:dyDescent="0.25">
      <c r="A76" s="97" t="s">
        <v>128</v>
      </c>
      <c r="B76" s="118" t="s">
        <v>107</v>
      </c>
      <c r="C76" s="108">
        <v>68278.999999999985</v>
      </c>
      <c r="D76" s="109"/>
      <c r="E76" s="109"/>
      <c r="F76" s="109"/>
      <c r="G76" s="110">
        <f t="shared" si="2"/>
        <v>68278.999999999985</v>
      </c>
      <c r="H76" s="107">
        <f>SUM(G72:G76)</f>
        <v>1392074.0499999998</v>
      </c>
      <c r="I76" s="111"/>
      <c r="J76" s="112"/>
      <c r="K76" s="113"/>
      <c r="L76" s="101"/>
      <c r="M76" s="114">
        <v>490</v>
      </c>
      <c r="N76" s="115"/>
      <c r="O76" s="107">
        <f>SUM(M72:M76)</f>
        <v>10000</v>
      </c>
      <c r="P76" s="114">
        <f>+G76*2%</f>
        <v>1365.5799999999997</v>
      </c>
      <c r="Q76" s="115"/>
      <c r="R76" s="107">
        <f>SUM(P72:P76)</f>
        <v>27841.480999999996</v>
      </c>
      <c r="S76" s="114">
        <f>+G76+I76+K76+M76+N76+P76+Q76+J76</f>
        <v>70134.579999999987</v>
      </c>
    </row>
    <row r="77" spans="1:19" x14ac:dyDescent="0.25">
      <c r="A77" s="97"/>
      <c r="B77" s="118"/>
      <c r="C77" s="108"/>
      <c r="D77" s="109"/>
      <c r="E77" s="109"/>
      <c r="F77" s="109"/>
      <c r="G77" s="110"/>
      <c r="H77" s="107"/>
      <c r="I77" s="111"/>
      <c r="J77" s="112"/>
      <c r="K77" s="113"/>
      <c r="L77" s="101"/>
      <c r="M77" s="114"/>
      <c r="N77" s="115"/>
      <c r="O77" s="107"/>
      <c r="P77" s="114"/>
      <c r="Q77" s="115"/>
      <c r="R77" s="107"/>
      <c r="S77" s="114"/>
    </row>
    <row r="78" spans="1:19" x14ac:dyDescent="0.25">
      <c r="A78" s="97" t="s">
        <v>129</v>
      </c>
      <c r="B78" s="11" t="s">
        <v>92</v>
      </c>
      <c r="C78" s="108">
        <v>663494.61</v>
      </c>
      <c r="D78" s="109"/>
      <c r="E78" s="109"/>
      <c r="F78" s="109"/>
      <c r="G78" s="110">
        <f t="shared" si="2"/>
        <v>663494.61</v>
      </c>
      <c r="H78" s="107">
        <f>SUM(G77:G78)</f>
        <v>663494.61</v>
      </c>
      <c r="I78" s="111"/>
      <c r="J78" s="112"/>
      <c r="K78" s="113"/>
      <c r="L78" s="101"/>
      <c r="M78" s="114">
        <v>6000</v>
      </c>
      <c r="N78" s="115"/>
      <c r="O78" s="107">
        <f>SUM(M77:M78)</f>
        <v>6000</v>
      </c>
      <c r="P78" s="114">
        <f>+G78*2%</f>
        <v>13269.8922</v>
      </c>
      <c r="Q78" s="115"/>
      <c r="R78" s="107">
        <f>SUM(P77:P78)</f>
        <v>13269.8922</v>
      </c>
      <c r="S78" s="114">
        <f>+G78+I78+K78+M78+N78+P78+Q78+J78</f>
        <v>682764.50219999999</v>
      </c>
    </row>
    <row r="79" spans="1:19" ht="15.75" thickBot="1" x14ac:dyDescent="0.3">
      <c r="A79" s="97"/>
      <c r="B79" s="11"/>
      <c r="C79" s="119"/>
      <c r="D79" s="120"/>
      <c r="E79" s="120"/>
      <c r="F79" s="120"/>
      <c r="G79" s="121"/>
      <c r="H79" s="101"/>
      <c r="I79" s="108"/>
      <c r="J79" s="122"/>
      <c r="K79" s="123"/>
      <c r="L79" s="101"/>
      <c r="M79" s="114"/>
      <c r="N79" s="115"/>
      <c r="O79" s="107"/>
      <c r="P79" s="114"/>
      <c r="Q79" s="115"/>
      <c r="S79" s="124"/>
    </row>
    <row r="80" spans="1:19" ht="15.75" thickBot="1" x14ac:dyDescent="0.3">
      <c r="A80" s="125"/>
      <c r="B80" s="126" t="s">
        <v>109</v>
      </c>
      <c r="C80" s="127">
        <f>SUM(C50:C79)</f>
        <v>22034772.000000004</v>
      </c>
      <c r="D80" s="128">
        <f>SUM(D50:D79)</f>
        <v>0</v>
      </c>
      <c r="E80" s="128">
        <f>SUM(E50:E79)</f>
        <v>1991234.87</v>
      </c>
      <c r="F80" s="128"/>
      <c r="G80" s="129">
        <f>SUM(G50:G79)</f>
        <v>24026006.870000005</v>
      </c>
      <c r="H80" s="130"/>
      <c r="I80" s="131">
        <f>SUM(I50:I79)</f>
        <v>0</v>
      </c>
      <c r="J80" s="132">
        <f>SUM(J50:J79)</f>
        <v>0</v>
      </c>
      <c r="K80" s="133">
        <f>SUM(K50:K79)</f>
        <v>0</v>
      </c>
      <c r="L80" s="134"/>
      <c r="M80" s="132">
        <f>SUM(M50:M79)</f>
        <v>257713.56760234491</v>
      </c>
      <c r="N80" s="133"/>
      <c r="O80" s="107"/>
      <c r="P80" s="132">
        <f>SUM(P50:P79)</f>
        <v>480520.13740000007</v>
      </c>
      <c r="Q80" s="133"/>
      <c r="S80" s="132">
        <f>SUM(S50:S79)</f>
        <v>24764240.575002346</v>
      </c>
    </row>
    <row r="81" spans="1:17" x14ac:dyDescent="0.25">
      <c r="A81" s="11"/>
      <c r="B81" s="135"/>
      <c r="C81" s="136"/>
      <c r="D81" s="136"/>
      <c r="E81" s="136"/>
      <c r="F81" s="136"/>
      <c r="G81" s="136"/>
      <c r="H81" s="137"/>
      <c r="I81" s="136"/>
      <c r="J81" s="136"/>
      <c r="K81" s="136"/>
      <c r="L81" s="137"/>
      <c r="M81" s="136"/>
      <c r="N81" s="136"/>
      <c r="O81" s="107"/>
      <c r="P81" s="107"/>
      <c r="Q81" s="107"/>
    </row>
    <row r="82" spans="1:17" x14ac:dyDescent="0.25">
      <c r="A82" s="10" t="s">
        <v>62</v>
      </c>
      <c r="H82" s="42"/>
      <c r="L82" s="42"/>
      <c r="M82" s="107"/>
      <c r="N82" s="107"/>
      <c r="O82" s="107"/>
      <c r="P82" s="107"/>
      <c r="Q82" s="107"/>
    </row>
    <row r="83" spans="1:17" x14ac:dyDescent="0.25">
      <c r="A83" s="138" t="s">
        <v>130</v>
      </c>
      <c r="H83" s="42"/>
      <c r="L83" s="42"/>
      <c r="N83"/>
    </row>
    <row r="84" spans="1:17" x14ac:dyDescent="0.25">
      <c r="A84" s="138" t="s">
        <v>131</v>
      </c>
      <c r="H84" s="42"/>
      <c r="L84" s="42"/>
      <c r="N84"/>
    </row>
    <row r="85" spans="1:17" x14ac:dyDescent="0.25">
      <c r="A85" s="138" t="s">
        <v>132</v>
      </c>
      <c r="G85" s="107"/>
      <c r="H85" s="42"/>
      <c r="L85" s="42"/>
      <c r="N85"/>
    </row>
    <row r="86" spans="1:17" x14ac:dyDescent="0.25">
      <c r="A86" s="138" t="s">
        <v>133</v>
      </c>
      <c r="H86" s="42"/>
      <c r="J86" s="97" t="s">
        <v>122</v>
      </c>
      <c r="K86" s="107">
        <v>41426.567602344905</v>
      </c>
      <c r="L86" s="42"/>
      <c r="N86"/>
    </row>
    <row r="87" spans="1:17" x14ac:dyDescent="0.25">
      <c r="A87" s="138" t="s">
        <v>134</v>
      </c>
      <c r="H87" s="42"/>
      <c r="J87" s="97" t="s">
        <v>124</v>
      </c>
      <c r="K87" s="107">
        <v>64225</v>
      </c>
      <c r="L87" s="42"/>
      <c r="N87"/>
    </row>
    <row r="88" spans="1:17" x14ac:dyDescent="0.25">
      <c r="A88" s="138" t="s">
        <v>135</v>
      </c>
      <c r="H88" s="42"/>
      <c r="J88" s="97" t="s">
        <v>125</v>
      </c>
      <c r="K88" s="107">
        <v>45257</v>
      </c>
      <c r="L88" s="42"/>
      <c r="N88"/>
    </row>
    <row r="89" spans="1:17" x14ac:dyDescent="0.25">
      <c r="A89" s="138" t="s">
        <v>136</v>
      </c>
      <c r="H89" s="42"/>
      <c r="J89" s="97" t="s">
        <v>126</v>
      </c>
      <c r="K89" s="107">
        <v>41356</v>
      </c>
      <c r="L89" s="42"/>
      <c r="N89"/>
    </row>
    <row r="90" spans="1:17" x14ac:dyDescent="0.25">
      <c r="A90" s="138" t="s">
        <v>137</v>
      </c>
      <c r="H90" s="42"/>
      <c r="J90" s="97" t="s">
        <v>127</v>
      </c>
      <c r="K90" s="107">
        <v>19000</v>
      </c>
      <c r="L90" s="42"/>
      <c r="N90"/>
    </row>
    <row r="91" spans="1:17" x14ac:dyDescent="0.25">
      <c r="H91" s="42"/>
      <c r="J91" s="97" t="s">
        <v>14</v>
      </c>
      <c r="K91" s="107">
        <v>30449</v>
      </c>
      <c r="L91" s="42"/>
      <c r="N91"/>
    </row>
    <row r="92" spans="1:17" ht="15.75" thickBot="1" x14ac:dyDescent="0.3">
      <c r="H92" s="42"/>
      <c r="J92" s="97" t="s">
        <v>128</v>
      </c>
      <c r="K92" s="107">
        <v>10000</v>
      </c>
      <c r="L92" s="42"/>
      <c r="N92"/>
    </row>
    <row r="93" spans="1:17" x14ac:dyDescent="0.25">
      <c r="A93" s="139" t="s">
        <v>138</v>
      </c>
      <c r="B93" s="140"/>
      <c r="C93" s="140"/>
      <c r="D93" s="141"/>
      <c r="H93" s="42"/>
      <c r="J93" s="97" t="s">
        <v>129</v>
      </c>
      <c r="K93" s="107">
        <v>6000</v>
      </c>
      <c r="L93" s="42"/>
      <c r="N93"/>
    </row>
    <row r="94" spans="1:17" x14ac:dyDescent="0.25">
      <c r="A94" s="97"/>
      <c r="B94" s="11"/>
      <c r="C94" s="142" t="s">
        <v>139</v>
      </c>
      <c r="D94" s="143"/>
      <c r="H94" s="42"/>
      <c r="L94" s="42"/>
      <c r="N94"/>
    </row>
    <row r="95" spans="1:17" x14ac:dyDescent="0.25">
      <c r="A95" s="97" t="s">
        <v>140</v>
      </c>
      <c r="B95" s="11" t="s">
        <v>141</v>
      </c>
      <c r="C95" s="144">
        <v>56</v>
      </c>
      <c r="D95" s="143"/>
      <c r="H95" s="42"/>
      <c r="L95" s="42"/>
      <c r="N95"/>
    </row>
    <row r="96" spans="1:17" x14ac:dyDescent="0.25">
      <c r="A96" s="97" t="s">
        <v>142</v>
      </c>
      <c r="B96" s="11" t="s">
        <v>143</v>
      </c>
      <c r="C96" s="144">
        <v>27</v>
      </c>
      <c r="D96" s="143"/>
      <c r="H96" s="42"/>
      <c r="L96" s="42"/>
      <c r="N96"/>
    </row>
    <row r="97" spans="1:14" x14ac:dyDescent="0.25">
      <c r="A97" s="97" t="s">
        <v>144</v>
      </c>
      <c r="B97" s="11" t="s">
        <v>145</v>
      </c>
      <c r="C97" s="144">
        <v>0</v>
      </c>
      <c r="D97" s="143"/>
      <c r="H97" s="42"/>
      <c r="L97" s="42"/>
      <c r="N97"/>
    </row>
    <row r="98" spans="1:14" x14ac:dyDescent="0.25">
      <c r="A98" s="97" t="s">
        <v>144</v>
      </c>
      <c r="B98" s="11" t="s">
        <v>146</v>
      </c>
      <c r="C98" s="144">
        <v>0</v>
      </c>
      <c r="D98" s="143"/>
      <c r="H98" s="42"/>
      <c r="L98" s="42"/>
      <c r="N98"/>
    </row>
    <row r="99" spans="1:14" x14ac:dyDescent="0.25">
      <c r="A99" s="97" t="s">
        <v>144</v>
      </c>
      <c r="B99" s="11" t="s">
        <v>147</v>
      </c>
      <c r="C99" s="144">
        <v>2</v>
      </c>
      <c r="D99" s="143"/>
      <c r="H99" s="42"/>
      <c r="L99" s="42"/>
      <c r="N99"/>
    </row>
    <row r="100" spans="1:14" x14ac:dyDescent="0.25">
      <c r="A100" s="97" t="s">
        <v>144</v>
      </c>
      <c r="B100" s="11" t="s">
        <v>148</v>
      </c>
      <c r="C100" s="144">
        <v>0</v>
      </c>
      <c r="D100" s="143"/>
      <c r="H100" s="42"/>
      <c r="L100" s="42"/>
      <c r="N100"/>
    </row>
    <row r="101" spans="1:14" x14ac:dyDescent="0.25">
      <c r="A101" s="97" t="s">
        <v>144</v>
      </c>
      <c r="B101" s="11" t="s">
        <v>149</v>
      </c>
      <c r="C101" s="144">
        <v>11</v>
      </c>
      <c r="D101" s="143"/>
      <c r="H101" s="42"/>
      <c r="L101" s="42"/>
      <c r="N101"/>
    </row>
    <row r="102" spans="1:14" x14ac:dyDescent="0.25">
      <c r="A102" s="97" t="s">
        <v>144</v>
      </c>
      <c r="B102" s="11" t="s">
        <v>95</v>
      </c>
      <c r="C102" s="144">
        <v>0</v>
      </c>
      <c r="D102" s="143"/>
      <c r="H102" s="42"/>
      <c r="L102" s="42"/>
      <c r="N102"/>
    </row>
    <row r="103" spans="1:14" x14ac:dyDescent="0.25">
      <c r="A103" s="97" t="s">
        <v>150</v>
      </c>
      <c r="B103" s="11" t="s">
        <v>151</v>
      </c>
      <c r="C103" s="145">
        <v>100</v>
      </c>
      <c r="D103" s="143"/>
      <c r="H103" s="42"/>
      <c r="L103" s="42"/>
      <c r="N103"/>
    </row>
    <row r="104" spans="1:14" x14ac:dyDescent="0.25">
      <c r="A104" s="146"/>
      <c r="B104" s="135" t="s">
        <v>152</v>
      </c>
      <c r="C104" s="147">
        <f>SUM(C95:C103)</f>
        <v>196</v>
      </c>
      <c r="D104" s="143"/>
      <c r="H104" s="42"/>
      <c r="L104" s="42"/>
      <c r="N104"/>
    </row>
    <row r="105" spans="1:14" ht="15.75" thickBot="1" x14ac:dyDescent="0.3">
      <c r="A105" s="148"/>
      <c r="B105" s="149"/>
      <c r="C105" s="149"/>
      <c r="D105" s="150"/>
      <c r="H105" s="42"/>
      <c r="L105" s="42"/>
      <c r="N105"/>
    </row>
    <row r="106" spans="1:14" x14ac:dyDescent="0.25">
      <c r="H106" s="42"/>
      <c r="L106" s="42"/>
      <c r="N106"/>
    </row>
    <row r="107" spans="1:14" x14ac:dyDescent="0.25">
      <c r="H107" s="42"/>
      <c r="L107" s="42"/>
      <c r="N107"/>
    </row>
    <row r="108" spans="1:14" x14ac:dyDescent="0.25">
      <c r="A108" s="42"/>
      <c r="N108"/>
    </row>
    <row r="109" spans="1:14" x14ac:dyDescent="0.25">
      <c r="A109" s="42"/>
      <c r="N109"/>
    </row>
    <row r="110" spans="1:14" x14ac:dyDescent="0.25">
      <c r="A110" s="42"/>
      <c r="N110"/>
    </row>
    <row r="111" spans="1:14" x14ac:dyDescent="0.25">
      <c r="A111" s="42"/>
      <c r="N111"/>
    </row>
  </sheetData>
  <mergeCells count="26">
    <mergeCell ref="A5:A7"/>
    <mergeCell ref="B5:B7"/>
    <mergeCell ref="C5:C6"/>
    <mergeCell ref="D5:D6"/>
    <mergeCell ref="E5:E6"/>
    <mergeCell ref="A4:B4"/>
    <mergeCell ref="C4:F4"/>
    <mergeCell ref="G4:H4"/>
    <mergeCell ref="I4:J4"/>
    <mergeCell ref="K4:L4"/>
    <mergeCell ref="A37:B37"/>
    <mergeCell ref="C47:G47"/>
    <mergeCell ref="M47:N47"/>
    <mergeCell ref="P47:Q47"/>
    <mergeCell ref="O5:O6"/>
    <mergeCell ref="A8:A9"/>
    <mergeCell ref="A12:A13"/>
    <mergeCell ref="A16:A18"/>
    <mergeCell ref="A20:A24"/>
    <mergeCell ref="A30:A35"/>
    <mergeCell ref="F5:F6"/>
    <mergeCell ref="G5:G6"/>
    <mergeCell ref="H5:H6"/>
    <mergeCell ref="I5:I6"/>
    <mergeCell ref="J5:J6"/>
    <mergeCell ref="M5:M6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showGridLines="0" zoomScaleNormal="100" workbookViewId="0">
      <selection activeCell="C28" sqref="C28"/>
    </sheetView>
  </sheetViews>
  <sheetFormatPr defaultRowHeight="15" outlineLevelRow="1" outlineLevelCol="1" x14ac:dyDescent="0.25"/>
  <cols>
    <col min="1" max="1" width="53" bestFit="1" customWidth="1"/>
    <col min="2" max="8" width="15.140625" customWidth="1" outlineLevel="1"/>
    <col min="9" max="9" width="15.140625" customWidth="1"/>
    <col min="10" max="10" width="9.5703125" bestFit="1" customWidth="1"/>
    <col min="12" max="12" width="26.7109375" bestFit="1" customWidth="1"/>
  </cols>
  <sheetData>
    <row r="1" spans="1:10" x14ac:dyDescent="0.25">
      <c r="A1" s="10" t="s">
        <v>478</v>
      </c>
    </row>
    <row r="2" spans="1:10" x14ac:dyDescent="0.25">
      <c r="A2" s="138" t="s">
        <v>479</v>
      </c>
    </row>
    <row r="3" spans="1:10" ht="15.75" thickBot="1" x14ac:dyDescent="0.3"/>
    <row r="4" spans="1:10" ht="15" customHeight="1" x14ac:dyDescent="0.25">
      <c r="A4" s="1" t="s">
        <v>477</v>
      </c>
      <c r="B4" s="361" t="s">
        <v>0</v>
      </c>
      <c r="C4" s="361" t="s">
        <v>1</v>
      </c>
      <c r="D4" s="366" t="s">
        <v>2</v>
      </c>
      <c r="E4" s="386" t="s">
        <v>3</v>
      </c>
      <c r="F4" s="366" t="s">
        <v>4</v>
      </c>
      <c r="G4" s="366" t="s">
        <v>5</v>
      </c>
      <c r="H4" s="361" t="s">
        <v>29</v>
      </c>
      <c r="I4" s="2" t="s">
        <v>6</v>
      </c>
    </row>
    <row r="5" spans="1:10" ht="15.75" thickBot="1" x14ac:dyDescent="0.3">
      <c r="A5" s="5" t="s">
        <v>10</v>
      </c>
      <c r="B5" s="362"/>
      <c r="C5" s="362"/>
      <c r="D5" s="367"/>
      <c r="E5" s="387"/>
      <c r="F5" s="367"/>
      <c r="G5" s="367"/>
      <c r="H5" s="362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hidden="1" x14ac:dyDescent="0.25">
      <c r="A7" s="20" t="s">
        <v>33</v>
      </c>
      <c r="B7" s="25">
        <v>0.71593589628846521</v>
      </c>
      <c r="C7" s="25">
        <v>0.89704548255457894</v>
      </c>
      <c r="D7" s="25">
        <v>0.58798048917814549</v>
      </c>
      <c r="E7" s="25">
        <v>0.54398481342403038</v>
      </c>
      <c r="F7" s="25">
        <v>0.49058894059935104</v>
      </c>
      <c r="G7" s="25">
        <v>0.18950891856230373</v>
      </c>
      <c r="H7" s="25">
        <v>0.46770614054640569</v>
      </c>
      <c r="I7" s="25">
        <v>3.8927506811532804</v>
      </c>
    </row>
    <row r="8" spans="1:10" hidden="1" outlineLevel="1" x14ac:dyDescent="0.25">
      <c r="A8" s="26" t="s">
        <v>23</v>
      </c>
      <c r="B8" s="24">
        <f t="shared" ref="B8:G8" si="0">$I$8*B27</f>
        <v>-6.7513163391558252E-3</v>
      </c>
      <c r="C8" s="24">
        <f t="shared" si="0"/>
        <v>-8.0254875520489825E-3</v>
      </c>
      <c r="D8" s="24">
        <f t="shared" si="0"/>
        <v>-5.7000768353949616E-3</v>
      </c>
      <c r="E8" s="24">
        <f t="shared" si="0"/>
        <v>-5.1126219312167959E-3</v>
      </c>
      <c r="F8" s="24">
        <f t="shared" si="0"/>
        <v>-4.4226069991292272E-3</v>
      </c>
      <c r="G8" s="24">
        <f t="shared" si="0"/>
        <v>-1.5158264393282626E-3</v>
      </c>
      <c r="H8" s="24">
        <f>$I$8*H27</f>
        <v>-4.4720639037259457E-3</v>
      </c>
      <c r="I8" s="24">
        <v>-3.5999999999999997E-2</v>
      </c>
    </row>
    <row r="9" spans="1:10" hidden="1" outlineLevel="1" x14ac:dyDescent="0.25">
      <c r="A9" s="26" t="s">
        <v>23</v>
      </c>
      <c r="B9" s="24">
        <v>2.5368602347506649E-2</v>
      </c>
      <c r="C9" s="24">
        <v>3.9166923850388766E-2</v>
      </c>
      <c r="D9" s="24">
        <v>1.8190189851364398E-2</v>
      </c>
      <c r="E9" s="24">
        <v>1.956813E-2</v>
      </c>
      <c r="F9" s="24">
        <v>2.0849801387796553E-2</v>
      </c>
      <c r="G9" s="24">
        <v>1.1331348870548647E-2</v>
      </c>
      <c r="H9" s="24">
        <v>1.5524999999999999E-2</v>
      </c>
      <c r="I9" s="24">
        <v>0.15</v>
      </c>
    </row>
    <row r="10" spans="1:10" hidden="1" x14ac:dyDescent="0.25">
      <c r="A10" s="20" t="s">
        <v>421</v>
      </c>
      <c r="B10" s="25">
        <f t="shared" ref="B10:I10" si="1">SUM(B7:B9)</f>
        <v>0.73455318229681599</v>
      </c>
      <c r="C10" s="25">
        <f t="shared" si="1"/>
        <v>0.92818691885291871</v>
      </c>
      <c r="D10" s="25">
        <f t="shared" si="1"/>
        <v>0.60047060219411497</v>
      </c>
      <c r="E10" s="25">
        <f t="shared" si="1"/>
        <v>0.55844032149281364</v>
      </c>
      <c r="F10" s="25">
        <f t="shared" si="1"/>
        <v>0.50701613498801834</v>
      </c>
      <c r="G10" s="25">
        <f t="shared" si="1"/>
        <v>0.19932444099352412</v>
      </c>
      <c r="H10" s="25">
        <f>SUM(H7:H9)</f>
        <v>0.47875907664267975</v>
      </c>
      <c r="I10" s="25">
        <f t="shared" si="1"/>
        <v>4.0067506811532807</v>
      </c>
    </row>
    <row r="11" spans="1:10" hidden="1" outlineLevel="1" x14ac:dyDescent="0.25">
      <c r="A11" s="26" t="s">
        <v>22</v>
      </c>
      <c r="B11" s="24">
        <f t="shared" ref="B11:I11" si="2">B10*0.02</f>
        <v>1.4691063645936321E-2</v>
      </c>
      <c r="C11" s="24">
        <f t="shared" si="2"/>
        <v>1.8563738377058374E-2</v>
      </c>
      <c r="D11" s="24">
        <f t="shared" si="2"/>
        <v>1.2009412043882299E-2</v>
      </c>
      <c r="E11" s="24">
        <f t="shared" si="2"/>
        <v>1.1168806429856274E-2</v>
      </c>
      <c r="F11" s="24">
        <f t="shared" si="2"/>
        <v>1.0140322699760366E-2</v>
      </c>
      <c r="G11" s="24">
        <f t="shared" si="2"/>
        <v>3.9864888198704821E-3</v>
      </c>
      <c r="H11" s="24">
        <f>H10*0.02</f>
        <v>9.5751815328535949E-3</v>
      </c>
      <c r="I11" s="24">
        <f t="shared" si="2"/>
        <v>8.0135013623065618E-2</v>
      </c>
    </row>
    <row r="12" spans="1:10" hidden="1" outlineLevel="1" x14ac:dyDescent="0.25">
      <c r="A12" s="26" t="s">
        <v>209</v>
      </c>
      <c r="B12" s="24">
        <f t="shared" ref="B12:H12" si="3">$I$12*B21</f>
        <v>0.10558308608179805</v>
      </c>
      <c r="C12" s="24">
        <f t="shared" si="3"/>
        <v>0.1255097081056549</v>
      </c>
      <c r="D12" s="24">
        <f t="shared" si="3"/>
        <v>8.9142868286871207E-2</v>
      </c>
      <c r="E12" s="24">
        <f t="shared" si="3"/>
        <v>7.9955726313196002E-2</v>
      </c>
      <c r="F12" s="24">
        <f t="shared" si="3"/>
        <v>6.9164659458604297E-2</v>
      </c>
      <c r="G12" s="24">
        <f t="shared" si="3"/>
        <v>2.3705841259494775E-2</v>
      </c>
      <c r="H12" s="24">
        <f t="shared" si="3"/>
        <v>6.9938110494380756E-2</v>
      </c>
      <c r="I12" s="24">
        <v>0.56299999999999994</v>
      </c>
    </row>
    <row r="13" spans="1:10" collapsed="1" x14ac:dyDescent="0.25">
      <c r="A13" s="20" t="s">
        <v>422</v>
      </c>
      <c r="B13" s="25">
        <f t="shared" ref="B13:G13" si="4">SUM(B10:B12)</f>
        <v>0.8548273320245503</v>
      </c>
      <c r="C13" s="25">
        <f t="shared" si="4"/>
        <v>1.072260365335632</v>
      </c>
      <c r="D13" s="25">
        <f t="shared" si="4"/>
        <v>0.70162288252486849</v>
      </c>
      <c r="E13" s="25">
        <f t="shared" si="4"/>
        <v>0.64956485423586596</v>
      </c>
      <c r="F13" s="25">
        <f t="shared" si="4"/>
        <v>0.58632111714638302</v>
      </c>
      <c r="G13" s="25">
        <f t="shared" si="4"/>
        <v>0.22701677107288937</v>
      </c>
      <c r="H13" s="25">
        <f>SUM(H10:H12)</f>
        <v>0.55827236866991403</v>
      </c>
      <c r="I13" s="25">
        <f>SUM(I10:I12)</f>
        <v>4.6498856947763461</v>
      </c>
    </row>
    <row r="14" spans="1:10" outlineLevel="1" x14ac:dyDescent="0.25">
      <c r="A14" s="26" t="s">
        <v>66</v>
      </c>
      <c r="B14" s="24">
        <f>B13*0.02</f>
        <v>1.7096546640491008E-2</v>
      </c>
      <c r="C14" s="24">
        <f t="shared" ref="C14:I14" si="5">C13*0.02</f>
        <v>2.1445207306712639E-2</v>
      </c>
      <c r="D14" s="24">
        <f t="shared" si="5"/>
        <v>1.4032457650497369E-2</v>
      </c>
      <c r="E14" s="24">
        <f t="shared" si="5"/>
        <v>1.2991297084717319E-2</v>
      </c>
      <c r="F14" s="24">
        <f t="shared" si="5"/>
        <v>1.172642234292766E-2</v>
      </c>
      <c r="G14" s="24">
        <f t="shared" si="5"/>
        <v>4.5403354214577875E-3</v>
      </c>
      <c r="H14" s="24">
        <f t="shared" si="5"/>
        <v>1.1165447373398281E-2</v>
      </c>
      <c r="I14" s="24">
        <f t="shared" si="5"/>
        <v>9.2997713895526926E-2</v>
      </c>
    </row>
    <row r="15" spans="1:10" outlineLevel="1" x14ac:dyDescent="0.25">
      <c r="A15" s="26" t="s">
        <v>382</v>
      </c>
      <c r="B15" s="24">
        <f t="shared" ref="B15:H15" si="6">$I$15*B21</f>
        <v>0.23573346217552427</v>
      </c>
      <c r="C15" s="24">
        <f t="shared" si="6"/>
        <v>0.28022327369237698</v>
      </c>
      <c r="D15" s="24">
        <f t="shared" si="6"/>
        <v>0.1990276828358741</v>
      </c>
      <c r="E15" s="24">
        <f t="shared" si="6"/>
        <v>0.17851571576498648</v>
      </c>
      <c r="F15" s="24">
        <f t="shared" si="6"/>
        <v>0.15442269438626219</v>
      </c>
      <c r="G15" s="24">
        <f t="shared" si="6"/>
        <v>5.2927606506545176E-2</v>
      </c>
      <c r="H15" s="24">
        <f t="shared" si="6"/>
        <v>0.15614956463843097</v>
      </c>
      <c r="I15" s="24">
        <f>1.26-0.003</f>
        <v>1.2570000000000001</v>
      </c>
      <c r="J15" t="s">
        <v>385</v>
      </c>
    </row>
    <row r="16" spans="1:10" x14ac:dyDescent="0.25">
      <c r="A16" s="20" t="s">
        <v>461</v>
      </c>
      <c r="B16" s="309">
        <f>SUM(B13:B15)</f>
        <v>1.1076573408405657</v>
      </c>
      <c r="C16" s="309">
        <f t="shared" ref="C16:I16" si="7">SUM(C13:C15)</f>
        <v>1.3739288463347217</v>
      </c>
      <c r="D16" s="309">
        <f t="shared" si="7"/>
        <v>0.91468302301123994</v>
      </c>
      <c r="E16" s="309">
        <f t="shared" si="7"/>
        <v>0.8410718670855698</v>
      </c>
      <c r="F16" s="309">
        <f t="shared" si="7"/>
        <v>0.75247023387557288</v>
      </c>
      <c r="G16" s="309">
        <f t="shared" si="7"/>
        <v>0.28448471300089234</v>
      </c>
      <c r="H16" s="309">
        <f t="shared" si="7"/>
        <v>0.72558738068174333</v>
      </c>
      <c r="I16" s="309">
        <f t="shared" si="7"/>
        <v>5.9998834086718738</v>
      </c>
    </row>
    <row r="17" spans="1:13" x14ac:dyDescent="0.25">
      <c r="A17" s="26" t="s">
        <v>416</v>
      </c>
      <c r="B17" s="24">
        <f>$I$17*'RF Comm Alloc''s 2021_22'!B23</f>
        <v>0.35471599999999998</v>
      </c>
      <c r="C17" s="24">
        <f>$I$17*'RF Comm Alloc''s 2021_22'!C23</f>
        <v>0</v>
      </c>
      <c r="D17" s="24">
        <f>$I$17*'RF Comm Alloc''s 2021_22'!D23</f>
        <v>0.29053200000000001</v>
      </c>
      <c r="E17" s="24">
        <f>$I$17*'RF Comm Alloc''s 2021_22'!E23</f>
        <v>0.24097400000000002</v>
      </c>
      <c r="F17" s="24">
        <f>$I$17*'RF Comm Alloc''s 2021_22'!F23</f>
        <v>0.23501</v>
      </c>
      <c r="G17" s="24">
        <f>$I$17*'RF Comm Alloc''s 2021_22'!G23</f>
        <v>4.0895999999999995E-2</v>
      </c>
      <c r="H17" s="24">
        <f>$I$17*'RF Comm Alloc''s 2021_22'!H23</f>
        <v>0.25787199999999999</v>
      </c>
      <c r="I17" s="24">
        <v>1.42</v>
      </c>
      <c r="J17" s="316" t="s">
        <v>394</v>
      </c>
    </row>
    <row r="18" spans="1:13" x14ac:dyDescent="0.25">
      <c r="A18" s="20" t="s">
        <v>383</v>
      </c>
      <c r="B18" s="309">
        <f>SUM(B16:B17)</f>
        <v>1.4623733408405657</v>
      </c>
      <c r="C18" s="309">
        <f t="shared" ref="C18" si="8">SUM(C16:C17)</f>
        <v>1.3739288463347217</v>
      </c>
      <c r="D18" s="309">
        <f t="shared" ref="D18" si="9">SUM(D16:D17)</f>
        <v>1.2052150230112399</v>
      </c>
      <c r="E18" s="309">
        <f t="shared" ref="E18" si="10">SUM(E16:E17)</f>
        <v>1.0820458670855699</v>
      </c>
      <c r="F18" s="309">
        <f t="shared" ref="F18" si="11">SUM(F16:F17)</f>
        <v>0.98748023387557282</v>
      </c>
      <c r="G18" s="309">
        <f t="shared" ref="G18" si="12">SUM(G16:G17)</f>
        <v>0.32538071300089233</v>
      </c>
      <c r="H18" s="309">
        <f t="shared" ref="H18" si="13">SUM(H16:H17)</f>
        <v>0.98345938068174332</v>
      </c>
      <c r="I18" s="309">
        <f t="shared" ref="I18" si="14">SUM(I16:I17)</f>
        <v>7.4198834086718737</v>
      </c>
    </row>
    <row r="19" spans="1:13" ht="15.75" thickBot="1" x14ac:dyDescent="0.3">
      <c r="I19" s="18"/>
    </row>
    <row r="20" spans="1:13" x14ac:dyDescent="0.25">
      <c r="A20" t="s">
        <v>64</v>
      </c>
      <c r="B20" s="175" t="s">
        <v>11</v>
      </c>
      <c r="C20" s="175" t="s">
        <v>12</v>
      </c>
      <c r="D20" s="176" t="s">
        <v>13</v>
      </c>
      <c r="E20" s="175" t="s">
        <v>19</v>
      </c>
      <c r="F20" s="175" t="s">
        <v>14</v>
      </c>
      <c r="G20" s="175" t="s">
        <v>20</v>
      </c>
      <c r="H20" s="175" t="s">
        <v>18</v>
      </c>
    </row>
    <row r="21" spans="1:13" x14ac:dyDescent="0.25">
      <c r="B21" s="177">
        <v>0.18753656497655072</v>
      </c>
      <c r="C21" s="177">
        <v>0.22293020977913841</v>
      </c>
      <c r="D21" s="177">
        <v>0.15833546764986006</v>
      </c>
      <c r="E21" s="177">
        <v>0.14201727586713322</v>
      </c>
      <c r="F21" s="177">
        <v>0.12285019442025631</v>
      </c>
      <c r="G21" s="177">
        <v>4.2106289981340632E-2</v>
      </c>
      <c r="H21" s="177">
        <v>0.12422399732572072</v>
      </c>
    </row>
    <row r="25" spans="1:13" hidden="1" x14ac:dyDescent="0.25"/>
    <row r="26" spans="1:13" hidden="1" x14ac:dyDescent="0.25">
      <c r="B26" s="13" t="s">
        <v>11</v>
      </c>
      <c r="C26" s="13" t="s">
        <v>12</v>
      </c>
      <c r="D26" s="12" t="s">
        <v>13</v>
      </c>
      <c r="E26" s="13" t="s">
        <v>19</v>
      </c>
      <c r="F26" s="13" t="s">
        <v>14</v>
      </c>
      <c r="G26" s="13" t="s">
        <v>20</v>
      </c>
      <c r="H26" s="13" t="s">
        <v>18</v>
      </c>
    </row>
    <row r="27" spans="1:13" hidden="1" x14ac:dyDescent="0.25">
      <c r="B27" s="14">
        <v>0.18753656497655072</v>
      </c>
      <c r="C27" s="14">
        <v>0.22293020977913841</v>
      </c>
      <c r="D27" s="14">
        <v>0.15833546764986006</v>
      </c>
      <c r="E27" s="14">
        <v>0.14201727586713322</v>
      </c>
      <c r="F27" s="14">
        <v>0.12285019442025631</v>
      </c>
      <c r="G27" s="14">
        <v>4.2106289981340632E-2</v>
      </c>
      <c r="H27" s="14">
        <v>0.12422399732572072</v>
      </c>
    </row>
    <row r="29" spans="1:13" x14ac:dyDescent="0.25">
      <c r="C29" s="310"/>
      <c r="D29" s="310"/>
      <c r="E29" s="310"/>
    </row>
    <row r="30" spans="1:13" x14ac:dyDescent="0.25">
      <c r="C30" s="310"/>
      <c r="D30" s="310"/>
      <c r="E30" s="310"/>
      <c r="J30" s="151"/>
      <c r="L30" s="227"/>
      <c r="M30" s="228"/>
    </row>
    <row r="31" spans="1:13" x14ac:dyDescent="0.25">
      <c r="C31" s="310"/>
      <c r="D31" s="310"/>
      <c r="E31" s="310"/>
      <c r="J31" s="151"/>
      <c r="L31" s="227"/>
      <c r="M31" s="228"/>
    </row>
    <row r="32" spans="1:13" x14ac:dyDescent="0.25">
      <c r="C32" s="310"/>
      <c r="D32" s="310"/>
      <c r="E32" s="310"/>
      <c r="J32" s="151"/>
    </row>
    <row r="33" spans="3:13" x14ac:dyDescent="0.25">
      <c r="C33" s="390"/>
      <c r="D33" s="390"/>
      <c r="E33" s="311"/>
      <c r="J33" s="151"/>
      <c r="L33" s="227"/>
      <c r="M33" s="228"/>
    </row>
    <row r="34" spans="3:13" x14ac:dyDescent="0.25">
      <c r="C34" s="390"/>
      <c r="D34" s="390"/>
      <c r="E34" s="311"/>
      <c r="J34" s="151"/>
      <c r="L34" s="227"/>
      <c r="M34" s="228"/>
    </row>
    <row r="35" spans="3:13" x14ac:dyDescent="0.25">
      <c r="C35" s="390"/>
      <c r="D35" s="390"/>
      <c r="E35" s="311"/>
      <c r="J35" s="151"/>
      <c r="L35" s="227"/>
      <c r="M35" s="228"/>
    </row>
    <row r="36" spans="3:13" x14ac:dyDescent="0.25">
      <c r="C36" s="390"/>
      <c r="D36" s="390"/>
      <c r="E36" s="311"/>
      <c r="L36" s="227"/>
      <c r="M36" s="228"/>
    </row>
    <row r="37" spans="3:13" x14ac:dyDescent="0.25">
      <c r="C37" s="390"/>
      <c r="D37" s="390"/>
      <c r="E37" s="311"/>
    </row>
    <row r="38" spans="3:13" x14ac:dyDescent="0.25">
      <c r="C38" s="388"/>
      <c r="D38" s="388"/>
      <c r="E38" s="312"/>
    </row>
    <row r="39" spans="3:13" x14ac:dyDescent="0.25">
      <c r="C39" s="388"/>
      <c r="D39" s="388"/>
      <c r="E39" s="312"/>
    </row>
    <row r="40" spans="3:13" x14ac:dyDescent="0.25">
      <c r="C40" s="389"/>
      <c r="D40" s="389"/>
      <c r="E40" s="310"/>
    </row>
  </sheetData>
  <mergeCells count="15">
    <mergeCell ref="C38:D38"/>
    <mergeCell ref="C39:D39"/>
    <mergeCell ref="C40:D40"/>
    <mergeCell ref="C33:D33"/>
    <mergeCell ref="C34:D34"/>
    <mergeCell ref="C35:D35"/>
    <mergeCell ref="C36:D36"/>
    <mergeCell ref="C37:D37"/>
    <mergeCell ref="F4:F5"/>
    <mergeCell ref="G4:G5"/>
    <mergeCell ref="H4:H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showGridLines="0" workbookViewId="0">
      <selection activeCell="J12" sqref="J12"/>
    </sheetView>
  </sheetViews>
  <sheetFormatPr defaultRowHeight="15" x14ac:dyDescent="0.25"/>
  <cols>
    <col min="1" max="1" width="57.140625" customWidth="1"/>
    <col min="2" max="8" width="12" customWidth="1"/>
    <col min="9" max="9" width="14" customWidth="1"/>
  </cols>
  <sheetData>
    <row r="1" spans="1:10" x14ac:dyDescent="0.25">
      <c r="A1" s="10" t="s">
        <v>478</v>
      </c>
    </row>
    <row r="2" spans="1:10" x14ac:dyDescent="0.25">
      <c r="A2" s="138" t="s">
        <v>479</v>
      </c>
    </row>
    <row r="3" spans="1:10" ht="15.75" thickBot="1" x14ac:dyDescent="0.3"/>
    <row r="4" spans="1:10" x14ac:dyDescent="0.25">
      <c r="A4" s="225" t="s">
        <v>254</v>
      </c>
      <c r="B4" s="361" t="s">
        <v>0</v>
      </c>
      <c r="C4" s="361" t="s">
        <v>1</v>
      </c>
      <c r="D4" s="361" t="s">
        <v>2</v>
      </c>
      <c r="E4" s="361" t="s">
        <v>3</v>
      </c>
      <c r="F4" s="361" t="s">
        <v>4</v>
      </c>
      <c r="G4" s="361" t="s">
        <v>5</v>
      </c>
      <c r="H4" s="361" t="s">
        <v>29</v>
      </c>
      <c r="I4" s="2" t="s">
        <v>6</v>
      </c>
    </row>
    <row r="5" spans="1:10" ht="15.75" thickBot="1" x14ac:dyDescent="0.3">
      <c r="A5" s="226" t="s">
        <v>10</v>
      </c>
      <c r="B5" s="362"/>
      <c r="C5" s="362"/>
      <c r="D5" s="362"/>
      <c r="E5" s="362"/>
      <c r="F5" s="362"/>
      <c r="G5" s="362"/>
      <c r="H5" s="362"/>
      <c r="I5" s="3" t="s">
        <v>7</v>
      </c>
    </row>
    <row r="6" spans="1:10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10" x14ac:dyDescent="0.25">
      <c r="A7" s="20" t="s">
        <v>414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</row>
    <row r="8" spans="1:10" x14ac:dyDescent="0.25">
      <c r="A8" s="20" t="s">
        <v>381</v>
      </c>
      <c r="B8" s="25"/>
      <c r="C8" s="25"/>
      <c r="D8" s="25"/>
      <c r="E8" s="25"/>
      <c r="F8" s="25"/>
      <c r="G8" s="25"/>
      <c r="H8" s="25"/>
      <c r="I8" s="25"/>
    </row>
    <row r="9" spans="1:10" x14ac:dyDescent="0.25">
      <c r="A9" s="26" t="s">
        <v>454</v>
      </c>
      <c r="B9" s="24">
        <v>0.42465999999999998</v>
      </c>
      <c r="C9" s="24">
        <v>0</v>
      </c>
      <c r="D9" s="24">
        <v>0.34782000000000002</v>
      </c>
      <c r="E9" s="24">
        <v>0.28849000000000002</v>
      </c>
      <c r="F9" s="24">
        <v>0.28134999999999999</v>
      </c>
      <c r="G9" s="24">
        <v>4.8959999999999997E-2</v>
      </c>
      <c r="H9" s="24">
        <v>0.30871999999999999</v>
      </c>
      <c r="I9" s="24">
        <f>SUM(B9:H9)</f>
        <v>1.7000000000000002</v>
      </c>
      <c r="J9" s="316" t="s">
        <v>481</v>
      </c>
    </row>
    <row r="10" spans="1:10" x14ac:dyDescent="0.25">
      <c r="A10" s="397" t="s">
        <v>456</v>
      </c>
      <c r="B10" s="394">
        <v>0.30457400000000001</v>
      </c>
      <c r="C10" s="394">
        <v>0</v>
      </c>
      <c r="D10" s="394">
        <v>0.249448</v>
      </c>
      <c r="E10" s="394">
        <v>0.206932</v>
      </c>
      <c r="F10" s="394">
        <v>0.201768</v>
      </c>
      <c r="G10" s="394">
        <v>1.6813999999999999E-2</v>
      </c>
      <c r="H10" s="394">
        <v>0.22146399999999999</v>
      </c>
      <c r="I10" s="394">
        <f>SUM(B10:H10)</f>
        <v>1.2010000000000001</v>
      </c>
      <c r="J10" s="316" t="s">
        <v>481</v>
      </c>
    </row>
    <row r="11" spans="1:10" x14ac:dyDescent="0.25">
      <c r="A11" s="397" t="s">
        <v>484</v>
      </c>
      <c r="B11" s="394">
        <v>-3.8040000000000004E-2</v>
      </c>
      <c r="C11" s="394">
        <v>0</v>
      </c>
      <c r="D11" s="394">
        <v>-3.1155000000000006E-2</v>
      </c>
      <c r="E11" s="394">
        <v>-2.5845000000000003E-2</v>
      </c>
      <c r="F11" s="394">
        <v>-2.5200000000000004E-2</v>
      </c>
      <c r="G11" s="394">
        <v>-2.1000000000000003E-3</v>
      </c>
      <c r="H11" s="394">
        <v>-2.7660000000000004E-2</v>
      </c>
      <c r="I11" s="394">
        <v>-0.15</v>
      </c>
      <c r="J11" s="316" t="s">
        <v>481</v>
      </c>
    </row>
    <row r="12" spans="1:10" x14ac:dyDescent="0.25">
      <c r="A12" s="20" t="s">
        <v>255</v>
      </c>
      <c r="B12" s="25">
        <f>SUM(B9:B11)</f>
        <v>0.69119399999999998</v>
      </c>
      <c r="C12" s="25">
        <f t="shared" ref="C12:I12" si="0">SUM(C9:C11)</f>
        <v>0</v>
      </c>
      <c r="D12" s="25">
        <f t="shared" si="0"/>
        <v>0.56611299999999998</v>
      </c>
      <c r="E12" s="25">
        <f t="shared" si="0"/>
        <v>0.46957700000000002</v>
      </c>
      <c r="F12" s="25">
        <f t="shared" si="0"/>
        <v>0.45791799999999999</v>
      </c>
      <c r="G12" s="25">
        <f t="shared" si="0"/>
        <v>6.3673999999999994E-2</v>
      </c>
      <c r="H12" s="25">
        <f t="shared" si="0"/>
        <v>0.50252399999999997</v>
      </c>
      <c r="I12" s="25">
        <f t="shared" si="0"/>
        <v>2.7510000000000003</v>
      </c>
    </row>
    <row r="13" spans="1:10" x14ac:dyDescent="0.25">
      <c r="A13" s="34" t="s">
        <v>379</v>
      </c>
      <c r="B13" s="35"/>
      <c r="C13" s="35"/>
      <c r="D13" s="35"/>
      <c r="E13" s="35"/>
      <c r="F13" s="35"/>
      <c r="G13" s="35"/>
      <c r="H13" s="35"/>
      <c r="I13" s="36"/>
    </row>
    <row r="14" spans="1:10" x14ac:dyDescent="0.25">
      <c r="A14" s="397" t="s">
        <v>485</v>
      </c>
      <c r="B14" s="394">
        <f>-B10</f>
        <v>-0.30457400000000001</v>
      </c>
      <c r="C14" s="394">
        <f t="shared" ref="C14:I14" si="1">-C10</f>
        <v>0</v>
      </c>
      <c r="D14" s="394">
        <f t="shared" si="1"/>
        <v>-0.249448</v>
      </c>
      <c r="E14" s="394">
        <f t="shared" si="1"/>
        <v>-0.206932</v>
      </c>
      <c r="F14" s="394">
        <f t="shared" si="1"/>
        <v>-0.201768</v>
      </c>
      <c r="G14" s="394">
        <f t="shared" si="1"/>
        <v>-1.6813999999999999E-2</v>
      </c>
      <c r="H14" s="394">
        <f t="shared" si="1"/>
        <v>-0.22146399999999999</v>
      </c>
      <c r="I14" s="394">
        <f t="shared" si="1"/>
        <v>-1.2010000000000001</v>
      </c>
    </row>
    <row r="15" spans="1:10" x14ac:dyDescent="0.25">
      <c r="A15" s="397" t="s">
        <v>486</v>
      </c>
      <c r="B15" s="394">
        <f>-B11</f>
        <v>3.8040000000000004E-2</v>
      </c>
      <c r="C15" s="394">
        <f t="shared" ref="C15:I15" si="2">-C11</f>
        <v>0</v>
      </c>
      <c r="D15" s="394">
        <f t="shared" si="2"/>
        <v>3.1155000000000006E-2</v>
      </c>
      <c r="E15" s="394">
        <f t="shared" si="2"/>
        <v>2.5845000000000003E-2</v>
      </c>
      <c r="F15" s="394">
        <f t="shared" si="2"/>
        <v>2.5200000000000004E-2</v>
      </c>
      <c r="G15" s="394">
        <f t="shared" si="2"/>
        <v>2.1000000000000003E-3</v>
      </c>
      <c r="H15" s="394">
        <f t="shared" si="2"/>
        <v>2.7660000000000004E-2</v>
      </c>
      <c r="I15" s="394">
        <f t="shared" si="2"/>
        <v>0.15</v>
      </c>
    </row>
    <row r="16" spans="1:10" x14ac:dyDescent="0.25">
      <c r="A16" s="26" t="s">
        <v>455</v>
      </c>
      <c r="B16" s="24">
        <f t="shared" ref="B16:H16" si="3">$I16*B$22</f>
        <v>0.16230400000000003</v>
      </c>
      <c r="C16" s="24">
        <f t="shared" si="3"/>
        <v>0</v>
      </c>
      <c r="D16" s="24">
        <f t="shared" si="3"/>
        <v>0.13292800000000005</v>
      </c>
      <c r="E16" s="24">
        <f t="shared" si="3"/>
        <v>0.11027200000000002</v>
      </c>
      <c r="F16" s="24">
        <f t="shared" si="3"/>
        <v>0.10752000000000003</v>
      </c>
      <c r="G16" s="24">
        <f t="shared" si="3"/>
        <v>8.9600000000000009E-3</v>
      </c>
      <c r="H16" s="24">
        <f t="shared" si="3"/>
        <v>0.11801600000000002</v>
      </c>
      <c r="I16" s="24">
        <v>0.64</v>
      </c>
      <c r="J16" t="s">
        <v>423</v>
      </c>
    </row>
    <row r="17" spans="1:9" x14ac:dyDescent="0.25">
      <c r="A17" s="20" t="s">
        <v>418</v>
      </c>
      <c r="B17" s="25">
        <f t="shared" ref="B17:I17" si="4">SUM(B12:B16)</f>
        <v>0.58696400000000004</v>
      </c>
      <c r="C17" s="25">
        <f t="shared" si="4"/>
        <v>0</v>
      </c>
      <c r="D17" s="25">
        <f t="shared" si="4"/>
        <v>0.48074800000000001</v>
      </c>
      <c r="E17" s="25">
        <f t="shared" si="4"/>
        <v>0.39876200000000006</v>
      </c>
      <c r="F17" s="25">
        <f t="shared" si="4"/>
        <v>0.38887000000000005</v>
      </c>
      <c r="G17" s="25">
        <f t="shared" si="4"/>
        <v>5.7919999999999999E-2</v>
      </c>
      <c r="H17" s="25">
        <f t="shared" si="4"/>
        <v>0.426736</v>
      </c>
      <c r="I17" s="25">
        <f t="shared" si="4"/>
        <v>2.3400000000000003</v>
      </c>
    </row>
    <row r="18" spans="1:9" x14ac:dyDescent="0.25">
      <c r="A18" s="347" t="s">
        <v>458</v>
      </c>
      <c r="B18" s="348">
        <f>$I18*B$23</f>
        <v>0.35471599999999998</v>
      </c>
      <c r="C18" s="348">
        <f t="shared" ref="C18:H18" si="5">$I18*C$23</f>
        <v>0</v>
      </c>
      <c r="D18" s="348">
        <f t="shared" si="5"/>
        <v>0.29053200000000001</v>
      </c>
      <c r="E18" s="348">
        <f t="shared" si="5"/>
        <v>0.24097400000000002</v>
      </c>
      <c r="F18" s="348">
        <f t="shared" si="5"/>
        <v>0.23501</v>
      </c>
      <c r="G18" s="348">
        <f t="shared" si="5"/>
        <v>4.0895999999999995E-2</v>
      </c>
      <c r="H18" s="348">
        <f t="shared" si="5"/>
        <v>0.25787199999999999</v>
      </c>
      <c r="I18" s="349">
        <v>1.42</v>
      </c>
    </row>
    <row r="19" spans="1:9" x14ac:dyDescent="0.25">
      <c r="A19" s="347" t="s">
        <v>459</v>
      </c>
      <c r="B19" s="350">
        <f t="shared" ref="B19:I19" si="6">B16</f>
        <v>0.16230400000000003</v>
      </c>
      <c r="C19" s="350">
        <f t="shared" si="6"/>
        <v>0</v>
      </c>
      <c r="D19" s="350">
        <f t="shared" si="6"/>
        <v>0.13292800000000005</v>
      </c>
      <c r="E19" s="350">
        <f t="shared" si="6"/>
        <v>0.11027200000000002</v>
      </c>
      <c r="F19" s="350">
        <f t="shared" si="6"/>
        <v>0.10752000000000003</v>
      </c>
      <c r="G19" s="350">
        <f t="shared" si="6"/>
        <v>8.9600000000000009E-3</v>
      </c>
      <c r="H19" s="350">
        <f t="shared" si="6"/>
        <v>0.11801600000000002</v>
      </c>
      <c r="I19" s="350">
        <f t="shared" si="6"/>
        <v>0.64</v>
      </c>
    </row>
    <row r="20" spans="1:9" x14ac:dyDescent="0.25">
      <c r="A20" s="351" t="s">
        <v>384</v>
      </c>
      <c r="B20" s="352">
        <f>B17-SUM(B18:B19)</f>
        <v>6.9944000000000006E-2</v>
      </c>
      <c r="C20" s="352">
        <f t="shared" ref="C20:I20" si="7">C17-SUM(C18:C19)</f>
        <v>0</v>
      </c>
      <c r="D20" s="352">
        <f t="shared" si="7"/>
        <v>5.728799999999995E-2</v>
      </c>
      <c r="E20" s="352">
        <f t="shared" si="7"/>
        <v>4.7516000000000003E-2</v>
      </c>
      <c r="F20" s="352">
        <f t="shared" si="7"/>
        <v>4.6340000000000048E-2</v>
      </c>
      <c r="G20" s="352">
        <f t="shared" si="7"/>
        <v>8.0640000000000017E-3</v>
      </c>
      <c r="H20" s="352">
        <f t="shared" si="7"/>
        <v>5.0848000000000004E-2</v>
      </c>
      <c r="I20" s="352">
        <f t="shared" si="7"/>
        <v>0.28000000000000025</v>
      </c>
    </row>
    <row r="22" spans="1:9" x14ac:dyDescent="0.25">
      <c r="A22" s="138" t="s">
        <v>393</v>
      </c>
      <c r="B22" s="313">
        <v>0.25360000000000005</v>
      </c>
      <c r="C22" s="313">
        <v>0</v>
      </c>
      <c r="D22" s="313">
        <v>0.20770000000000005</v>
      </c>
      <c r="E22" s="313">
        <v>0.17230000000000004</v>
      </c>
      <c r="F22" s="313">
        <v>0.16800000000000004</v>
      </c>
      <c r="G22" s="313">
        <v>1.4000000000000002E-2</v>
      </c>
      <c r="H22" s="313">
        <v>0.18440000000000004</v>
      </c>
      <c r="I22" s="313">
        <f>SUM(B22:H22)</f>
        <v>1.0000000000000002</v>
      </c>
    </row>
    <row r="23" spans="1:9" x14ac:dyDescent="0.25">
      <c r="A23" s="138" t="s">
        <v>392</v>
      </c>
      <c r="B23" s="313">
        <v>0.24979999999999999</v>
      </c>
      <c r="C23" s="313">
        <v>0</v>
      </c>
      <c r="D23" s="313">
        <v>0.2046</v>
      </c>
      <c r="E23" s="313">
        <v>0.16970000000000002</v>
      </c>
      <c r="F23" s="313">
        <v>0.16550000000000001</v>
      </c>
      <c r="G23" s="313">
        <v>2.8799999999999999E-2</v>
      </c>
      <c r="H23" s="313">
        <v>0.18160000000000001</v>
      </c>
      <c r="I23" s="313">
        <f>SUM(B23:H23)</f>
        <v>1.0000000000000002</v>
      </c>
    </row>
    <row r="25" spans="1:9" x14ac:dyDescent="0.25">
      <c r="B25" s="40"/>
    </row>
  </sheetData>
  <mergeCells count="7">
    <mergeCell ref="G4:G5"/>
    <mergeCell ref="H4:H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zoomScaleNormal="100" workbookViewId="0">
      <selection activeCell="A17" sqref="A17"/>
    </sheetView>
  </sheetViews>
  <sheetFormatPr defaultRowHeight="15" outlineLevelCol="1" x14ac:dyDescent="0.25"/>
  <cols>
    <col min="1" max="1" width="74.5703125" customWidth="1"/>
    <col min="2" max="8" width="14.5703125" customWidth="1" outlineLevel="1"/>
    <col min="9" max="9" width="14.5703125" customWidth="1"/>
  </cols>
  <sheetData>
    <row r="1" spans="1:9" x14ac:dyDescent="0.25">
      <c r="A1" s="10" t="s">
        <v>478</v>
      </c>
    </row>
    <row r="2" spans="1:9" x14ac:dyDescent="0.25">
      <c r="A2" s="138" t="s">
        <v>479</v>
      </c>
    </row>
    <row r="3" spans="1:9" ht="15.75" thickBot="1" x14ac:dyDescent="0.3"/>
    <row r="4" spans="1:9" x14ac:dyDescent="0.25">
      <c r="A4" s="229" t="s">
        <v>254</v>
      </c>
      <c r="B4" s="361" t="s">
        <v>0</v>
      </c>
      <c r="C4" s="361" t="s">
        <v>1</v>
      </c>
      <c r="D4" s="361" t="s">
        <v>2</v>
      </c>
      <c r="E4" s="361" t="s">
        <v>3</v>
      </c>
      <c r="F4" s="361" t="s">
        <v>4</v>
      </c>
      <c r="G4" s="361" t="s">
        <v>5</v>
      </c>
      <c r="H4" s="361" t="s">
        <v>29</v>
      </c>
      <c r="I4" s="2" t="s">
        <v>6</v>
      </c>
    </row>
    <row r="5" spans="1:9" ht="15.75" thickBot="1" x14ac:dyDescent="0.3">
      <c r="A5" s="230" t="s">
        <v>10</v>
      </c>
      <c r="B5" s="362"/>
      <c r="C5" s="362"/>
      <c r="D5" s="362"/>
      <c r="E5" s="362"/>
      <c r="F5" s="362"/>
      <c r="G5" s="362"/>
      <c r="H5" s="362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x14ac:dyDescent="0.25">
      <c r="A7" s="20" t="s">
        <v>255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</row>
    <row r="8" spans="1:9" x14ac:dyDescent="0.25">
      <c r="A8" s="26" t="s">
        <v>410</v>
      </c>
      <c r="B8" s="24">
        <f t="shared" ref="B8:H8" si="0">$I$8*B$11</f>
        <v>5.1163200000000006E-2</v>
      </c>
      <c r="C8" s="24">
        <f t="shared" si="0"/>
        <v>0</v>
      </c>
      <c r="D8" s="24">
        <f t="shared" si="0"/>
        <v>2.6356800000000003E-2</v>
      </c>
      <c r="E8" s="24">
        <f t="shared" si="0"/>
        <v>7.7520000000000006E-2</v>
      </c>
      <c r="F8" s="24">
        <f t="shared" si="0"/>
        <v>0</v>
      </c>
      <c r="G8" s="24">
        <f t="shared" si="0"/>
        <v>0</v>
      </c>
      <c r="H8" s="24">
        <f t="shared" si="0"/>
        <v>0</v>
      </c>
      <c r="I8" s="24">
        <v>0.15504000000000001</v>
      </c>
    </row>
    <row r="9" spans="1:9" x14ac:dyDescent="0.25">
      <c r="A9" s="20" t="s">
        <v>418</v>
      </c>
      <c r="B9" s="25">
        <f t="shared" ref="B9:I9" si="1">SUM(B8:B8)</f>
        <v>5.1163200000000006E-2</v>
      </c>
      <c r="C9" s="25">
        <f t="shared" si="1"/>
        <v>0</v>
      </c>
      <c r="D9" s="25">
        <f t="shared" si="1"/>
        <v>2.6356800000000003E-2</v>
      </c>
      <c r="E9" s="25">
        <f t="shared" si="1"/>
        <v>7.7520000000000006E-2</v>
      </c>
      <c r="F9" s="25">
        <f t="shared" si="1"/>
        <v>0</v>
      </c>
      <c r="G9" s="25">
        <f t="shared" si="1"/>
        <v>0</v>
      </c>
      <c r="H9" s="25">
        <f t="shared" si="1"/>
        <v>0</v>
      </c>
      <c r="I9" s="25">
        <f t="shared" si="1"/>
        <v>0.15504000000000001</v>
      </c>
    </row>
    <row r="11" spans="1:9" s="344" customFormat="1" x14ac:dyDescent="0.25">
      <c r="A11" s="344" t="s">
        <v>408</v>
      </c>
      <c r="B11" s="344">
        <v>0.33</v>
      </c>
      <c r="C11" s="344">
        <v>0</v>
      </c>
      <c r="D11" s="344">
        <v>0.17</v>
      </c>
      <c r="E11" s="344">
        <v>0.5</v>
      </c>
      <c r="F11" s="344">
        <v>0</v>
      </c>
      <c r="G11" s="344">
        <v>0</v>
      </c>
      <c r="H11" s="344">
        <v>0</v>
      </c>
      <c r="I11" s="344">
        <f>SUM(B11:H11)</f>
        <v>1</v>
      </c>
    </row>
    <row r="13" spans="1:9" x14ac:dyDescent="0.25">
      <c r="A13" t="s">
        <v>409</v>
      </c>
    </row>
    <row r="14" spans="1:9" x14ac:dyDescent="0.25">
      <c r="A14" t="s">
        <v>411</v>
      </c>
    </row>
  </sheetData>
  <mergeCells count="7">
    <mergeCell ref="H4:H5"/>
    <mergeCell ref="B4:B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8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zoomScaleNormal="100" workbookViewId="0">
      <selection activeCell="A20" sqref="A20"/>
    </sheetView>
  </sheetViews>
  <sheetFormatPr defaultRowHeight="15" x14ac:dyDescent="0.25"/>
  <cols>
    <col min="1" max="1" width="57.5703125" bestFit="1" customWidth="1"/>
    <col min="2" max="9" width="17" customWidth="1"/>
    <col min="10" max="10" width="8.5703125" customWidth="1"/>
  </cols>
  <sheetData>
    <row r="1" spans="1:9" x14ac:dyDescent="0.25">
      <c r="A1" s="10" t="s">
        <v>478</v>
      </c>
    </row>
    <row r="2" spans="1:9" x14ac:dyDescent="0.25">
      <c r="A2" s="138" t="s">
        <v>479</v>
      </c>
    </row>
    <row r="3" spans="1:9" ht="15.75" thickBot="1" x14ac:dyDescent="0.3"/>
    <row r="4" spans="1:9" ht="15" customHeight="1" x14ac:dyDescent="0.25">
      <c r="A4" s="16" t="s">
        <v>471</v>
      </c>
      <c r="B4" s="361" t="s">
        <v>0</v>
      </c>
      <c r="C4" s="361" t="s">
        <v>1</v>
      </c>
      <c r="D4" s="366" t="s">
        <v>2</v>
      </c>
      <c r="E4" s="386" t="s">
        <v>3</v>
      </c>
      <c r="F4" s="366" t="s">
        <v>4</v>
      </c>
      <c r="G4" s="366" t="s">
        <v>5</v>
      </c>
      <c r="H4" s="361" t="s">
        <v>29</v>
      </c>
      <c r="I4" s="2" t="s">
        <v>6</v>
      </c>
    </row>
    <row r="5" spans="1:9" ht="15.75" thickBot="1" x14ac:dyDescent="0.3">
      <c r="A5" s="17"/>
      <c r="B5" s="362"/>
      <c r="C5" s="362"/>
      <c r="D5" s="367"/>
      <c r="E5" s="387"/>
      <c r="F5" s="367"/>
      <c r="G5" s="367"/>
      <c r="H5" s="362"/>
      <c r="I5" s="3" t="s">
        <v>7</v>
      </c>
    </row>
    <row r="6" spans="1:9" ht="15.75" thickBot="1" x14ac:dyDescent="0.3">
      <c r="A6" s="6"/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3" t="s">
        <v>8</v>
      </c>
      <c r="I6" s="3" t="s">
        <v>8</v>
      </c>
    </row>
    <row r="7" spans="1:9" hidden="1" x14ac:dyDescent="0.25">
      <c r="A7" s="20" t="s">
        <v>472</v>
      </c>
      <c r="B7" s="25"/>
      <c r="C7" s="25"/>
      <c r="D7" s="25"/>
      <c r="E7" s="25"/>
      <c r="F7" s="25"/>
      <c r="G7" s="25"/>
      <c r="H7" s="25"/>
      <c r="I7" s="25"/>
    </row>
    <row r="8" spans="1:9" hidden="1" x14ac:dyDescent="0.25">
      <c r="A8" s="26" t="s">
        <v>34</v>
      </c>
      <c r="B8" s="24">
        <v>8.5576751918922417E-2</v>
      </c>
      <c r="C8" s="24">
        <v>0.13212308978864476</v>
      </c>
      <c r="D8" s="24">
        <v>6.1361573765269239E-2</v>
      </c>
      <c r="E8" s="24">
        <v>6.6009825199999997E-2</v>
      </c>
      <c r="F8" s="24">
        <v>7.0333330014833703E-2</v>
      </c>
      <c r="G8" s="24">
        <v>3.8224416856650768E-2</v>
      </c>
      <c r="H8" s="24">
        <v>5.2371000000000001E-2</v>
      </c>
      <c r="I8" s="24">
        <v>0.50600000000000001</v>
      </c>
    </row>
    <row r="9" spans="1:9" hidden="1" x14ac:dyDescent="0.25">
      <c r="A9" s="20" t="s">
        <v>472</v>
      </c>
      <c r="B9" s="25">
        <f t="shared" ref="B9:I9" si="0">SUM(B8:B8)</f>
        <v>8.5576751918922417E-2</v>
      </c>
      <c r="C9" s="25">
        <f t="shared" si="0"/>
        <v>0.13212308978864476</v>
      </c>
      <c r="D9" s="25">
        <f t="shared" si="0"/>
        <v>6.1361573765269239E-2</v>
      </c>
      <c r="E9" s="25">
        <f t="shared" si="0"/>
        <v>6.6009825199999997E-2</v>
      </c>
      <c r="F9" s="25">
        <f t="shared" si="0"/>
        <v>7.0333330014833703E-2</v>
      </c>
      <c r="G9" s="25">
        <f t="shared" si="0"/>
        <v>3.8224416856650768E-2</v>
      </c>
      <c r="H9" s="25">
        <f t="shared" si="0"/>
        <v>5.2371000000000001E-2</v>
      </c>
      <c r="I9" s="25">
        <f t="shared" si="0"/>
        <v>0.50600000000000001</v>
      </c>
    </row>
    <row r="10" spans="1:9" hidden="1" x14ac:dyDescent="0.25">
      <c r="A10" s="26" t="s">
        <v>23</v>
      </c>
      <c r="B10" s="24">
        <v>1.3529921252003545E-2</v>
      </c>
      <c r="C10" s="24">
        <v>2.0889026053540673E-2</v>
      </c>
      <c r="D10" s="24">
        <v>9.7014345873943468E-3</v>
      </c>
      <c r="E10" s="24">
        <v>1.0436335999999999E-2</v>
      </c>
      <c r="F10" s="24">
        <v>1.1119894073491494E-2</v>
      </c>
      <c r="G10" s="24">
        <v>6.0433860642926116E-3</v>
      </c>
      <c r="H10" s="24">
        <v>8.2799999999999992E-3</v>
      </c>
      <c r="I10" s="24">
        <v>0.08</v>
      </c>
    </row>
    <row r="11" spans="1:9" hidden="1" x14ac:dyDescent="0.25">
      <c r="A11" s="20" t="s">
        <v>473</v>
      </c>
      <c r="B11" s="25">
        <f t="shared" ref="B11:I11" si="1">SUM(B9:B10)</f>
        <v>9.910667317092596E-2</v>
      </c>
      <c r="C11" s="25">
        <f t="shared" si="1"/>
        <v>0.15301211584218544</v>
      </c>
      <c r="D11" s="25">
        <f t="shared" si="1"/>
        <v>7.106300835266359E-2</v>
      </c>
      <c r="E11" s="25">
        <f t="shared" si="1"/>
        <v>7.6446161200000001E-2</v>
      </c>
      <c r="F11" s="25">
        <f t="shared" si="1"/>
        <v>8.1453224088325199E-2</v>
      </c>
      <c r="G11" s="25">
        <f t="shared" si="1"/>
        <v>4.4267802920943379E-2</v>
      </c>
      <c r="H11" s="25">
        <f>SUM(H9:H10)</f>
        <v>6.0650999999999997E-2</v>
      </c>
      <c r="I11" s="25">
        <f t="shared" si="1"/>
        <v>0.58599999999999997</v>
      </c>
    </row>
    <row r="12" spans="1:9" hidden="1" x14ac:dyDescent="0.25">
      <c r="A12" s="26" t="s">
        <v>22</v>
      </c>
      <c r="B12" s="24">
        <f>B11*0.02</f>
        <v>1.9821334634185193E-3</v>
      </c>
      <c r="C12" s="24">
        <f t="shared" ref="C12:I12" si="2">C11*0.02</f>
        <v>3.0602423168437087E-3</v>
      </c>
      <c r="D12" s="24">
        <f t="shared" si="2"/>
        <v>1.4212601670532718E-3</v>
      </c>
      <c r="E12" s="24">
        <f t="shared" si="2"/>
        <v>1.5289232240000001E-3</v>
      </c>
      <c r="F12" s="24">
        <f t="shared" si="2"/>
        <v>1.629064481766504E-3</v>
      </c>
      <c r="G12" s="24">
        <f t="shared" si="2"/>
        <v>8.8535605841886763E-4</v>
      </c>
      <c r="H12" s="24">
        <f t="shared" si="2"/>
        <v>1.21302E-3</v>
      </c>
      <c r="I12" s="24">
        <f t="shared" si="2"/>
        <v>1.172E-2</v>
      </c>
    </row>
    <row r="13" spans="1:9" x14ac:dyDescent="0.25">
      <c r="A13" s="20" t="s">
        <v>474</v>
      </c>
      <c r="B13" s="25">
        <f t="shared" ref="B13:I13" si="3">SUM(B11:B12)</f>
        <v>0.10108880663434448</v>
      </c>
      <c r="C13" s="25">
        <f t="shared" si="3"/>
        <v>0.15607235815902915</v>
      </c>
      <c r="D13" s="25">
        <f t="shared" si="3"/>
        <v>7.2484268519716857E-2</v>
      </c>
      <c r="E13" s="25">
        <f t="shared" si="3"/>
        <v>7.7975084424000002E-2</v>
      </c>
      <c r="F13" s="25">
        <f t="shared" si="3"/>
        <v>8.30822885700917E-2</v>
      </c>
      <c r="G13" s="25">
        <f t="shared" si="3"/>
        <v>4.515315897936225E-2</v>
      </c>
      <c r="H13" s="25">
        <f>SUM(H11:H12)</f>
        <v>6.1864019999999999E-2</v>
      </c>
      <c r="I13" s="25">
        <f t="shared" si="3"/>
        <v>0.59771999999999992</v>
      </c>
    </row>
    <row r="14" spans="1:9" x14ac:dyDescent="0.25">
      <c r="A14" s="26" t="s">
        <v>22</v>
      </c>
      <c r="B14" s="24">
        <f t="shared" ref="B14:I14" si="4">B13*0.02</f>
        <v>2.0217761326868896E-3</v>
      </c>
      <c r="C14" s="24">
        <f t="shared" si="4"/>
        <v>3.121447163180583E-3</v>
      </c>
      <c r="D14" s="24">
        <f t="shared" si="4"/>
        <v>1.4496853703943372E-3</v>
      </c>
      <c r="E14" s="24">
        <f t="shared" si="4"/>
        <v>1.55950168848E-3</v>
      </c>
      <c r="F14" s="24">
        <f t="shared" si="4"/>
        <v>1.6616457714018341E-3</v>
      </c>
      <c r="G14" s="24">
        <f t="shared" si="4"/>
        <v>9.0306317958724499E-4</v>
      </c>
      <c r="H14" s="24">
        <f>H13*0.02</f>
        <v>1.2372804E-3</v>
      </c>
      <c r="I14" s="24">
        <f t="shared" si="4"/>
        <v>1.1954399999999999E-2</v>
      </c>
    </row>
    <row r="15" spans="1:9" x14ac:dyDescent="0.25">
      <c r="A15" s="20" t="s">
        <v>475</v>
      </c>
      <c r="B15" s="25">
        <f t="shared" ref="B15:I15" si="5">SUM(B13:B14)</f>
        <v>0.10311058276703138</v>
      </c>
      <c r="C15" s="25">
        <f t="shared" si="5"/>
        <v>0.15919380532220972</v>
      </c>
      <c r="D15" s="25">
        <f t="shared" si="5"/>
        <v>7.393395389011119E-2</v>
      </c>
      <c r="E15" s="25">
        <f t="shared" si="5"/>
        <v>7.9534586112480002E-2</v>
      </c>
      <c r="F15" s="25">
        <f t="shared" si="5"/>
        <v>8.4743934341493535E-2</v>
      </c>
      <c r="G15" s="25">
        <f t="shared" si="5"/>
        <v>4.6056222158949493E-2</v>
      </c>
      <c r="H15" s="25">
        <f t="shared" si="5"/>
        <v>6.3101300400000004E-2</v>
      </c>
      <c r="I15" s="25">
        <f t="shared" si="5"/>
        <v>0.60967439999999995</v>
      </c>
    </row>
    <row r="17" spans="7:9" x14ac:dyDescent="0.25">
      <c r="I17" s="9"/>
    </row>
    <row r="18" spans="7:9" x14ac:dyDescent="0.25">
      <c r="G18" s="10"/>
      <c r="I18" s="19"/>
    </row>
  </sheetData>
  <mergeCells count="7">
    <mergeCell ref="F4:F5"/>
    <mergeCell ref="G4:G5"/>
    <mergeCell ref="H4:H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8" scale="9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"/>
  <sheetViews>
    <sheetView showGridLines="0" workbookViewId="0">
      <selection activeCell="B3" sqref="B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EASC Summary</vt:lpstr>
      <vt:lpstr>EAS 2021_22</vt:lpstr>
      <vt:lpstr>NEPTS 2021_22</vt:lpstr>
      <vt:lpstr>NEPTS Detailed Analysis</vt:lpstr>
      <vt:lpstr>EMRTS 2021_22</vt:lpstr>
      <vt:lpstr>RF Comm Alloc's 2021_22</vt:lpstr>
      <vt:lpstr>Specialised Comm_2021_22</vt:lpstr>
      <vt:lpstr>EASC Team 2021_22</vt:lpstr>
      <vt:lpstr>Support Docs--&gt;</vt:lpstr>
      <vt:lpstr>Fcst 21_22</vt:lpstr>
      <vt:lpstr>REC TO WHSSC</vt:lpstr>
      <vt:lpstr>NEPTS 21 22</vt:lpstr>
      <vt:lpstr>Final I2S and QAIS</vt:lpstr>
      <vt:lpstr>Healthier Wales System Realloc</vt:lpstr>
      <vt:lpstr>HW Risk Share Adjustment</vt:lpstr>
      <vt:lpstr>'EAS 2021_22'!Print_Area</vt:lpstr>
      <vt:lpstr>'EASC Summary'!Print_Area</vt:lpstr>
      <vt:lpstr>'EASC Team 2021_22'!Print_Area</vt:lpstr>
      <vt:lpstr>'EMRTS 2021_22'!Print_Area</vt:lpstr>
      <vt:lpstr>'NEPTS 2021_22'!Print_Area</vt:lpstr>
      <vt:lpstr>'RF Comm Alloc''s 2021_22'!Print_Area</vt:lpstr>
      <vt:lpstr>'Specialised Comm_2021_22'!Print_Area</vt:lpstr>
      <vt:lpstr>'EAS 2021_22'!Print_Titles</vt:lpstr>
      <vt:lpstr>'EASC Summary'!Print_Titles</vt:lpstr>
      <vt:lpstr>'EASC Team 2021_22'!Print_Titles</vt:lpstr>
      <vt:lpstr>'EMRTS 2021_22'!Print_Titles</vt:lpstr>
      <vt:lpstr>'NEPTS 2021_22'!Print_Titles</vt:lpstr>
      <vt:lpstr>'RF Comm Alloc''s 2021_22'!Print_Titles</vt:lpstr>
      <vt:lpstr>'Specialised Comm_2021_22'!Print_Titles</vt:lpstr>
    </vt:vector>
  </TitlesOfParts>
  <Company>North Glamorgan NHS Trust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ngt_citrixprovision</dc:creator>
  <cp:lastModifiedBy>ngt_citrixprovision</cp:lastModifiedBy>
  <cp:lastPrinted>2021-03-03T10:30:26Z</cp:lastPrinted>
  <dcterms:created xsi:type="dcterms:W3CDTF">2019-12-06T11:43:30Z</dcterms:created>
  <dcterms:modified xsi:type="dcterms:W3CDTF">2021-03-23T16:17:10Z</dcterms:modified>
</cp:coreProperties>
</file>